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buaenen\Desktop\"/>
    </mc:Choice>
  </mc:AlternateContent>
  <bookViews>
    <workbookView xWindow="0" yWindow="0" windowWidth="28800" windowHeight="11145" tabRatio="770" firstSheet="1" activeTab="2"/>
  </bookViews>
  <sheets>
    <sheet name="النماذج (الأصل)" sheetId="10" state="veryHidden" r:id="rId1"/>
    <sheet name="الامتثال والالتزام (للجهة)" sheetId="11" r:id="rId2"/>
    <sheet name="الشفافية والإفصاح (للجهة)" sheetId="16" r:id="rId3"/>
    <sheet name="النتيجة الكلية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6" l="1"/>
  <c r="AE6" i="16" l="1"/>
  <c r="AE7" i="16"/>
  <c r="AE4" i="16"/>
  <c r="I26" i="16"/>
  <c r="P26" i="16" s="1"/>
  <c r="BD8" i="16" s="1"/>
  <c r="I25" i="16"/>
  <c r="P25" i="16" s="1"/>
  <c r="BC8" i="16" s="1"/>
  <c r="I24" i="16"/>
  <c r="P24" i="16" s="1"/>
  <c r="BB8" i="16" s="1"/>
  <c r="I23" i="16"/>
  <c r="P23" i="16" s="1"/>
  <c r="BC7" i="16" s="1"/>
  <c r="I22" i="16"/>
  <c r="P22" i="16" s="1"/>
  <c r="BB7" i="16" s="1"/>
  <c r="I21" i="16"/>
  <c r="I20" i="16"/>
  <c r="I19" i="16"/>
  <c r="I18" i="16"/>
  <c r="I17" i="16"/>
  <c r="I16" i="16"/>
  <c r="I15" i="16"/>
  <c r="I14" i="16"/>
  <c r="I13" i="16"/>
  <c r="I12" i="16"/>
  <c r="I11" i="16"/>
  <c r="P11" i="16" s="1"/>
  <c r="BI4" i="16" s="1"/>
  <c r="I10" i="16"/>
  <c r="P10" i="16" s="1"/>
  <c r="BH4" i="16" s="1"/>
  <c r="I9" i="16"/>
  <c r="P9" i="16" s="1"/>
  <c r="BG4" i="16" s="1"/>
  <c r="I8" i="16"/>
  <c r="P8" i="16" s="1"/>
  <c r="BF4" i="16" s="1"/>
  <c r="I7" i="16"/>
  <c r="P7" i="16" s="1"/>
  <c r="BE4" i="16" s="1"/>
  <c r="I6" i="16"/>
  <c r="P6" i="16" s="1"/>
  <c r="BD4" i="16" s="1"/>
  <c r="I5" i="16"/>
  <c r="P5" i="16" s="1"/>
  <c r="BC4" i="16" s="1"/>
  <c r="I4" i="16"/>
  <c r="P4" i="16" s="1"/>
  <c r="BB4" i="16" s="1"/>
  <c r="AB253" i="10"/>
  <c r="AB280" i="10"/>
  <c r="AB284" i="10"/>
  <c r="AB288" i="10"/>
  <c r="AB295" i="10"/>
  <c r="AA275" i="10"/>
  <c r="AA273" i="10"/>
  <c r="H25" i="16"/>
  <c r="H26" i="16"/>
  <c r="H24" i="16"/>
  <c r="H23" i="16"/>
  <c r="H22" i="16"/>
  <c r="H21" i="16"/>
  <c r="H20" i="16"/>
  <c r="H19" i="16"/>
  <c r="H18" i="16"/>
  <c r="H13" i="16"/>
  <c r="H14" i="16"/>
  <c r="H15" i="16"/>
  <c r="H16" i="16"/>
  <c r="H17" i="16"/>
  <c r="H12" i="16"/>
  <c r="H5" i="16"/>
  <c r="H6" i="16"/>
  <c r="H7" i="16"/>
  <c r="H8" i="16"/>
  <c r="H9" i="16"/>
  <c r="H10" i="16"/>
  <c r="H11" i="16"/>
  <c r="H4" i="16"/>
  <c r="P20" i="16" l="1"/>
  <c r="BJ8" i="16"/>
  <c r="BJ7" i="16"/>
  <c r="BJ4" i="16"/>
  <c r="BM8" i="16"/>
  <c r="AH7" i="16" s="1"/>
  <c r="BM4" i="16"/>
  <c r="AH4" i="16" s="1"/>
  <c r="BM7" i="16"/>
  <c r="AH6" i="16" s="1"/>
  <c r="Q24" i="16"/>
  <c r="Q22" i="16"/>
  <c r="Q4" i="16"/>
  <c r="O9" i="4"/>
  <c r="R22" i="16" l="1"/>
  <c r="R4" i="16"/>
  <c r="R24" i="16"/>
  <c r="AD6" i="16"/>
  <c r="AF6" i="16" s="1"/>
  <c r="BL7" i="16"/>
  <c r="AG6" i="16" s="1"/>
  <c r="AD7" i="16"/>
  <c r="AF7" i="16" s="1"/>
  <c r="BL8" i="16"/>
  <c r="AG7" i="16" s="1"/>
  <c r="O6" i="4"/>
  <c r="O7" i="4"/>
  <c r="O8" i="4"/>
  <c r="D1" i="4" l="1"/>
  <c r="D9" i="4" s="1"/>
  <c r="AC15" i="11"/>
  <c r="AB196" i="10" l="1"/>
  <c r="AB195" i="10"/>
  <c r="AE277" i="10" l="1"/>
  <c r="AA290" i="10"/>
  <c r="AA291" i="10" s="1"/>
  <c r="AA293" i="10"/>
  <c r="AA294" i="10" s="1"/>
  <c r="AA295" i="10" s="1"/>
  <c r="AA286" i="10"/>
  <c r="AA287" i="10" s="1"/>
  <c r="AA278" i="10"/>
  <c r="AA279" i="10" s="1"/>
  <c r="AA280" i="10" s="1"/>
  <c r="AC280" i="10" s="1"/>
  <c r="AA282" i="10"/>
  <c r="AA283" i="10" s="1"/>
  <c r="AA284" i="10" s="1"/>
  <c r="AC284" i="10" s="1"/>
  <c r="AA274" i="10"/>
  <c r="AA276" i="10" s="1"/>
  <c r="AA251" i="10"/>
  <c r="AA252" i="10" s="1"/>
  <c r="AA253" i="10" s="1"/>
  <c r="AA255" i="10"/>
  <c r="AA256" i="10" s="1"/>
  <c r="AA258" i="10"/>
  <c r="AA259" i="10" s="1"/>
  <c r="AA261" i="10"/>
  <c r="AA262" i="10" s="1"/>
  <c r="AA264" i="10"/>
  <c r="AA265" i="10" s="1"/>
  <c r="AA267" i="10"/>
  <c r="AA268" i="10" s="1"/>
  <c r="AA270" i="10"/>
  <c r="AA271" i="10" s="1"/>
  <c r="AA248" i="10"/>
  <c r="AA249" i="10" s="1"/>
  <c r="AA227" i="10"/>
  <c r="AA228" i="10" s="1"/>
  <c r="AA230" i="10"/>
  <c r="AA231" i="10" s="1"/>
  <c r="AA233" i="10"/>
  <c r="AA234" i="10" s="1"/>
  <c r="AA236" i="10"/>
  <c r="AA237" i="10" s="1"/>
  <c r="AA239" i="10"/>
  <c r="AA240" i="10" s="1"/>
  <c r="AA242" i="10"/>
  <c r="AA243" i="10" s="1"/>
  <c r="AA245" i="10"/>
  <c r="AA246" i="10" s="1"/>
  <c r="AB282" i="10"/>
  <c r="AD282" i="10" s="1"/>
  <c r="AB283" i="10"/>
  <c r="AD283" i="10" s="1"/>
  <c r="AB286" i="10"/>
  <c r="AD286" i="10" s="1"/>
  <c r="AB287" i="10"/>
  <c r="AD287" i="10" s="1"/>
  <c r="AD288" i="10"/>
  <c r="AB290" i="10"/>
  <c r="AB291" i="10"/>
  <c r="AD291" i="10" s="1"/>
  <c r="AB293" i="10"/>
  <c r="AD293" i="10" s="1"/>
  <c r="AB294" i="10"/>
  <c r="AD294" i="10" s="1"/>
  <c r="AD295" i="10"/>
  <c r="AB225" i="10"/>
  <c r="AB227" i="10"/>
  <c r="AB228" i="10"/>
  <c r="AB230" i="10"/>
  <c r="AD230" i="10" s="1"/>
  <c r="AB231" i="10"/>
  <c r="AB233" i="10"/>
  <c r="AB234" i="10"/>
  <c r="AB236" i="10"/>
  <c r="AC236" i="10" s="1"/>
  <c r="AB237" i="10"/>
  <c r="AB239" i="10"/>
  <c r="AB240" i="10"/>
  <c r="AB242" i="10"/>
  <c r="AB243" i="10"/>
  <c r="AB245" i="10"/>
  <c r="AB246" i="10"/>
  <c r="AB248" i="10"/>
  <c r="AD248" i="10" s="1"/>
  <c r="AB249" i="10"/>
  <c r="AB251" i="10"/>
  <c r="AB252" i="10"/>
  <c r="AB255" i="10"/>
  <c r="AB256" i="10"/>
  <c r="AB258" i="10"/>
  <c r="AB259" i="10"/>
  <c r="AB261" i="10"/>
  <c r="AB262" i="10"/>
  <c r="AB264" i="10"/>
  <c r="AB265" i="10"/>
  <c r="AB267" i="10"/>
  <c r="AB268" i="10"/>
  <c r="AB270" i="10"/>
  <c r="AB271" i="10"/>
  <c r="AB273" i="10"/>
  <c r="AB274" i="10"/>
  <c r="AB275" i="10"/>
  <c r="AB276" i="10"/>
  <c r="AB278" i="10"/>
  <c r="AB279" i="10"/>
  <c r="AA224" i="10"/>
  <c r="AB224" i="10"/>
  <c r="AD224" i="10" s="1"/>
  <c r="H248" i="10"/>
  <c r="F248" i="10" s="1"/>
  <c r="H224" i="10"/>
  <c r="F224" i="10" s="1"/>
  <c r="R293" i="10"/>
  <c r="R290" i="10"/>
  <c r="R286" i="10"/>
  <c r="R282" i="10"/>
  <c r="R278" i="10"/>
  <c r="R273" i="10"/>
  <c r="S273" i="10" s="1"/>
  <c r="R267" i="10"/>
  <c r="R261" i="10"/>
  <c r="R258" i="10"/>
  <c r="R255" i="10"/>
  <c r="R248" i="10"/>
  <c r="R245" i="10"/>
  <c r="R242" i="10"/>
  <c r="R239" i="10"/>
  <c r="R236" i="10"/>
  <c r="R233" i="10"/>
  <c r="R230" i="10"/>
  <c r="R227" i="10"/>
  <c r="R224" i="10"/>
  <c r="AC242" i="10" l="1"/>
  <c r="R296" i="10"/>
  <c r="AC290" i="10"/>
  <c r="AC224" i="10"/>
  <c r="AE293" i="10"/>
  <c r="AC264" i="10"/>
  <c r="AE288" i="10"/>
  <c r="AE248" i="10"/>
  <c r="AE294" i="10"/>
  <c r="AE283" i="10"/>
  <c r="AE295" i="10"/>
  <c r="AC270" i="10"/>
  <c r="AE230" i="10"/>
  <c r="AE286" i="10"/>
  <c r="AC233" i="10"/>
  <c r="AD284" i="10"/>
  <c r="AE284" i="10" s="1"/>
  <c r="AC291" i="10"/>
  <c r="AC287" i="10"/>
  <c r="AE291" i="10"/>
  <c r="AE282" i="10"/>
  <c r="AE224" i="10"/>
  <c r="AE287" i="10"/>
  <c r="AA288" i="10"/>
  <c r="AC288" i="10" s="1"/>
  <c r="AC255" i="10"/>
  <c r="AC230" i="10"/>
  <c r="AC293" i="10"/>
  <c r="AC283" i="10"/>
  <c r="AC234" i="10"/>
  <c r="AC227" i="10"/>
  <c r="AD290" i="10"/>
  <c r="AE290" i="10" s="1"/>
  <c r="S286" i="10"/>
  <c r="T286" i="10" s="1"/>
  <c r="AC295" i="10"/>
  <c r="AA225" i="10"/>
  <c r="AC225" i="10" s="1"/>
  <c r="AC228" i="10"/>
  <c r="AC231" i="10"/>
  <c r="AC240" i="10"/>
  <c r="AC243" i="10"/>
  <c r="AC246" i="10"/>
  <c r="AC252" i="10"/>
  <c r="AC256" i="10"/>
  <c r="AC262" i="10"/>
  <c r="AC268" i="10"/>
  <c r="AC271" i="10"/>
  <c r="AC294" i="10"/>
  <c r="AC286" i="10"/>
  <c r="AC282" i="10"/>
  <c r="AC279" i="10"/>
  <c r="AC278" i="10"/>
  <c r="AC274" i="10"/>
  <c r="AC267" i="10"/>
  <c r="AC259" i="10"/>
  <c r="AC251" i="10"/>
  <c r="AC276" i="10"/>
  <c r="AC261" i="10"/>
  <c r="AC253" i="10"/>
  <c r="AC275" i="10"/>
  <c r="AC273" i="10"/>
  <c r="AC258" i="10"/>
  <c r="AC265" i="10"/>
  <c r="AC249" i="10"/>
  <c r="AC248" i="10"/>
  <c r="AC239" i="10"/>
  <c r="AC245" i="10"/>
  <c r="AC237" i="10"/>
  <c r="AD279" i="10"/>
  <c r="AE279" i="10" s="1"/>
  <c r="AD275" i="10"/>
  <c r="AE275" i="10" s="1"/>
  <c r="AD273" i="10"/>
  <c r="AE273" i="10" s="1"/>
  <c r="AD271" i="10"/>
  <c r="AE271" i="10" s="1"/>
  <c r="AD268" i="10"/>
  <c r="AD264" i="10"/>
  <c r="AE264" i="10" s="1"/>
  <c r="AD262" i="10"/>
  <c r="AD258" i="10"/>
  <c r="AE258" i="10" s="1"/>
  <c r="AD256" i="10"/>
  <c r="AE256" i="10" s="1"/>
  <c r="AD252" i="10"/>
  <c r="AE252" i="10" s="1"/>
  <c r="AD246" i="10"/>
  <c r="AE246" i="10" s="1"/>
  <c r="AD242" i="10"/>
  <c r="AE242" i="10" s="1"/>
  <c r="AD240" i="10"/>
  <c r="AE240" i="10" s="1"/>
  <c r="AD236" i="10"/>
  <c r="AE236" i="10" s="1"/>
  <c r="AD234" i="10"/>
  <c r="AE234" i="10" s="1"/>
  <c r="AD228" i="10"/>
  <c r="AE228" i="10" s="1"/>
  <c r="AD280" i="10"/>
  <c r="AE280" i="10" s="1"/>
  <c r="AD278" i="10"/>
  <c r="AE278" i="10" s="1"/>
  <c r="AD276" i="10"/>
  <c r="AE276" i="10" s="1"/>
  <c r="AD274" i="10"/>
  <c r="AD270" i="10"/>
  <c r="AE270" i="10" s="1"/>
  <c r="AD267" i="10"/>
  <c r="AE267" i="10" s="1"/>
  <c r="AD265" i="10"/>
  <c r="AE265" i="10" s="1"/>
  <c r="AD261" i="10"/>
  <c r="AE261" i="10" s="1"/>
  <c r="AD259" i="10"/>
  <c r="AE259" i="10" s="1"/>
  <c r="AD255" i="10"/>
  <c r="AE255" i="10" s="1"/>
  <c r="AD253" i="10"/>
  <c r="AE253" i="10" s="1"/>
  <c r="AD251" i="10"/>
  <c r="AE251" i="10" s="1"/>
  <c r="AD249" i="10"/>
  <c r="AD245" i="10"/>
  <c r="AE245" i="10" s="1"/>
  <c r="AD243" i="10"/>
  <c r="AE243" i="10" s="1"/>
  <c r="AD239" i="10"/>
  <c r="AE239" i="10" s="1"/>
  <c r="AD237" i="10"/>
  <c r="AE237" i="10" s="1"/>
  <c r="AD233" i="10"/>
  <c r="AE233" i="10" s="1"/>
  <c r="AD231" i="10"/>
  <c r="AE231" i="10" s="1"/>
  <c r="AD227" i="10"/>
  <c r="AE227" i="10" s="1"/>
  <c r="AD225" i="10"/>
  <c r="AE225" i="10" s="1"/>
  <c r="S278" i="10"/>
  <c r="T278" i="10" s="1"/>
  <c r="S224" i="10"/>
  <c r="T224" i="10" s="1"/>
  <c r="S248" i="10"/>
  <c r="T248" i="10" s="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I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D70" i="11"/>
  <c r="F70" i="11"/>
  <c r="AA210" i="10"/>
  <c r="AA206" i="10"/>
  <c r="AA207" i="10" s="1"/>
  <c r="AA203" i="10"/>
  <c r="AA199" i="10"/>
  <c r="AA200" i="10" s="1"/>
  <c r="AA195" i="10"/>
  <c r="AA196" i="10" s="1"/>
  <c r="AA192" i="10"/>
  <c r="AA189" i="10"/>
  <c r="AA187" i="10"/>
  <c r="AA184" i="10"/>
  <c r="AA182" i="10"/>
  <c r="AA178" i="10"/>
  <c r="AA179" i="10" s="1"/>
  <c r="AA175" i="10"/>
  <c r="AA172" i="10"/>
  <c r="AA169" i="10"/>
  <c r="AA166" i="10"/>
  <c r="AA163" i="10"/>
  <c r="AA160" i="10"/>
  <c r="AA157" i="10"/>
  <c r="AA154" i="10"/>
  <c r="AA151" i="10"/>
  <c r="AA148" i="10"/>
  <c r="AA145" i="10"/>
  <c r="AA142" i="10"/>
  <c r="AA139" i="10"/>
  <c r="AA136" i="10"/>
  <c r="AA133" i="10"/>
  <c r="AA130" i="10"/>
  <c r="AA126" i="10"/>
  <c r="AA127" i="10" s="1"/>
  <c r="AA123" i="10"/>
  <c r="AA120" i="10"/>
  <c r="AA116" i="10"/>
  <c r="AA117" i="10" s="1"/>
  <c r="AA112" i="10"/>
  <c r="AA113" i="10" s="1"/>
  <c r="AA109" i="10"/>
  <c r="AA106" i="10"/>
  <c r="AA102" i="10"/>
  <c r="AA103" i="10" s="1"/>
  <c r="AA98" i="10"/>
  <c r="AA99" i="10" s="1"/>
  <c r="AA94" i="10"/>
  <c r="AA95" i="10" s="1"/>
  <c r="AA90" i="10"/>
  <c r="AA91" i="10" s="1"/>
  <c r="AA87" i="10"/>
  <c r="AA84" i="10"/>
  <c r="AA81" i="10"/>
  <c r="AA78" i="10"/>
  <c r="AA75" i="10"/>
  <c r="AA72" i="10"/>
  <c r="AA69" i="10"/>
  <c r="AA66" i="10"/>
  <c r="AA63" i="10"/>
  <c r="AA60" i="10"/>
  <c r="AA57" i="10"/>
  <c r="AA53" i="10"/>
  <c r="AA54" i="10" s="1"/>
  <c r="AA50" i="10"/>
  <c r="AA47" i="10"/>
  <c r="AA43" i="10"/>
  <c r="AA44" i="10" s="1"/>
  <c r="AA40" i="10"/>
  <c r="AA37" i="10"/>
  <c r="AA34" i="10"/>
  <c r="AA31" i="10"/>
  <c r="AA28" i="10"/>
  <c r="AA25" i="10"/>
  <c r="AA22" i="10"/>
  <c r="AA19" i="10"/>
  <c r="AA16" i="10"/>
  <c r="AA13" i="10"/>
  <c r="AA10" i="10"/>
  <c r="AA7" i="10"/>
  <c r="AA4" i="10"/>
  <c r="AD5" i="10"/>
  <c r="AD8" i="10"/>
  <c r="AD11" i="10"/>
  <c r="AD14" i="10"/>
  <c r="AD17" i="10"/>
  <c r="AD20" i="10"/>
  <c r="AD23" i="10"/>
  <c r="AD26" i="10"/>
  <c r="P12" i="16" l="1"/>
  <c r="I29" i="11"/>
  <c r="I11" i="11"/>
  <c r="I57" i="11"/>
  <c r="I50" i="11"/>
  <c r="I15" i="11"/>
  <c r="I46" i="11"/>
  <c r="I62" i="11"/>
  <c r="I61" i="11"/>
  <c r="I30" i="11"/>
  <c r="I66" i="11"/>
  <c r="I41" i="11"/>
  <c r="I34" i="11"/>
  <c r="I45" i="11"/>
  <c r="I65" i="11"/>
  <c r="I54" i="11"/>
  <c r="I49" i="11"/>
  <c r="I38" i="11"/>
  <c r="P38" i="11" s="1"/>
  <c r="I33" i="11"/>
  <c r="I22" i="11"/>
  <c r="I10" i="11"/>
  <c r="I69" i="11"/>
  <c r="I58" i="11"/>
  <c r="I53" i="11"/>
  <c r="I42" i="11"/>
  <c r="I37" i="11"/>
  <c r="I26" i="11"/>
  <c r="I21" i="11"/>
  <c r="I68" i="11"/>
  <c r="I64" i="11"/>
  <c r="I60" i="11"/>
  <c r="I56" i="11"/>
  <c r="I52" i="11"/>
  <c r="I48" i="11"/>
  <c r="I44" i="11"/>
  <c r="I40" i="11"/>
  <c r="I36" i="11"/>
  <c r="I32" i="11"/>
  <c r="I28" i="11"/>
  <c r="I24" i="11"/>
  <c r="I20" i="11"/>
  <c r="I9" i="11"/>
  <c r="I67" i="11"/>
  <c r="I63" i="11"/>
  <c r="I59" i="11"/>
  <c r="I55" i="11"/>
  <c r="I51" i="11"/>
  <c r="I47" i="11"/>
  <c r="I43" i="11"/>
  <c r="I39" i="11"/>
  <c r="P39" i="11" s="1"/>
  <c r="I35" i="11"/>
  <c r="I31" i="11"/>
  <c r="I27" i="11"/>
  <c r="I23" i="11"/>
  <c r="I12" i="11"/>
  <c r="I8" i="11"/>
  <c r="I16" i="11"/>
  <c r="I7" i="11"/>
  <c r="I19" i="11"/>
  <c r="I5" i="11"/>
  <c r="I18" i="11"/>
  <c r="I14" i="11"/>
  <c r="I4" i="11"/>
  <c r="I17" i="11"/>
  <c r="I13" i="11"/>
  <c r="T296" i="10"/>
  <c r="H70" i="11"/>
  <c r="I6" i="11"/>
  <c r="AD29" i="10"/>
  <c r="AD32" i="10"/>
  <c r="AD35" i="10"/>
  <c r="AD38" i="10"/>
  <c r="AD41" i="10"/>
  <c r="AD45" i="10"/>
  <c r="AD48" i="10"/>
  <c r="AE48" i="10" s="1"/>
  <c r="AD51" i="10"/>
  <c r="AD55" i="10"/>
  <c r="AD58" i="10"/>
  <c r="AD61" i="10"/>
  <c r="AD64" i="10"/>
  <c r="AD67" i="10"/>
  <c r="AD70" i="10"/>
  <c r="AD73" i="10"/>
  <c r="AD76" i="10"/>
  <c r="AD79" i="10"/>
  <c r="AD82" i="10"/>
  <c r="AD85" i="10"/>
  <c r="AD88" i="10"/>
  <c r="AD92" i="10"/>
  <c r="AD96" i="10"/>
  <c r="AD100" i="10"/>
  <c r="AD104" i="10"/>
  <c r="AD107" i="10"/>
  <c r="AD110" i="10"/>
  <c r="AD114" i="10"/>
  <c r="AD118" i="10"/>
  <c r="AD121" i="10"/>
  <c r="AD124" i="10"/>
  <c r="AD128" i="10"/>
  <c r="AD131" i="10"/>
  <c r="AD134" i="10"/>
  <c r="AE134" i="10" s="1"/>
  <c r="AD137" i="10"/>
  <c r="AD140" i="10"/>
  <c r="AD143" i="10"/>
  <c r="AD146" i="10"/>
  <c r="AD149" i="10"/>
  <c r="AD152" i="10"/>
  <c r="AD155" i="10"/>
  <c r="AD158" i="10"/>
  <c r="AD161" i="10"/>
  <c r="AD164" i="10"/>
  <c r="AD167" i="10"/>
  <c r="AD170" i="10"/>
  <c r="AD173" i="10"/>
  <c r="AD176" i="10"/>
  <c r="AD180" i="10"/>
  <c r="AD185" i="10"/>
  <c r="AD190" i="10"/>
  <c r="AD193" i="10"/>
  <c r="AD197" i="10"/>
  <c r="AD201" i="10"/>
  <c r="AD204" i="10"/>
  <c r="AD208" i="10"/>
  <c r="P21" i="16" l="1"/>
  <c r="Q20" i="16" s="1"/>
  <c r="P16" i="16"/>
  <c r="P17" i="16" s="1"/>
  <c r="P18" i="16"/>
  <c r="BB5" i="16"/>
  <c r="P13" i="16"/>
  <c r="P14" i="16"/>
  <c r="P15" i="16"/>
  <c r="AB179" i="10"/>
  <c r="AB133" i="10"/>
  <c r="AB127" i="10"/>
  <c r="AB44" i="10"/>
  <c r="AB54" i="10"/>
  <c r="AB91" i="10"/>
  <c r="AB95" i="10"/>
  <c r="AB99" i="10"/>
  <c r="AB103" i="10"/>
  <c r="AB113" i="10"/>
  <c r="AB117" i="10"/>
  <c r="AB207" i="10"/>
  <c r="AB200" i="10"/>
  <c r="AB4" i="10"/>
  <c r="AB6" i="10"/>
  <c r="AC6" i="10" s="1"/>
  <c r="AB7" i="10"/>
  <c r="AB9" i="10"/>
  <c r="AB10" i="10"/>
  <c r="AB12" i="10"/>
  <c r="AB13" i="10"/>
  <c r="AB15" i="10"/>
  <c r="AB16" i="10"/>
  <c r="AB18" i="10"/>
  <c r="AB19" i="10"/>
  <c r="AB21" i="10"/>
  <c r="AB22" i="10"/>
  <c r="AB24" i="10"/>
  <c r="AB25" i="10"/>
  <c r="AB27" i="10"/>
  <c r="AB28" i="10"/>
  <c r="AB30" i="10"/>
  <c r="AB31" i="10"/>
  <c r="AB33" i="10"/>
  <c r="AB34" i="10"/>
  <c r="AB36" i="10"/>
  <c r="AB37" i="10"/>
  <c r="AB39" i="10"/>
  <c r="AB40" i="10"/>
  <c r="AB42" i="10"/>
  <c r="AB43" i="10"/>
  <c r="AB46" i="10"/>
  <c r="AB47" i="10"/>
  <c r="AB49" i="10"/>
  <c r="AB50" i="10"/>
  <c r="AB52" i="10"/>
  <c r="AB53" i="10"/>
  <c r="AB56" i="10"/>
  <c r="AB57" i="10"/>
  <c r="AB59" i="10"/>
  <c r="AB60" i="10"/>
  <c r="AB62" i="10"/>
  <c r="AB63" i="10"/>
  <c r="AB65" i="10"/>
  <c r="AB66" i="10"/>
  <c r="AB68" i="10"/>
  <c r="AB69" i="10"/>
  <c r="AB71" i="10"/>
  <c r="AB72" i="10"/>
  <c r="AB74" i="10"/>
  <c r="AB75" i="10"/>
  <c r="AB77" i="10"/>
  <c r="AB78" i="10"/>
  <c r="AB80" i="10"/>
  <c r="AB81" i="10"/>
  <c r="AB83" i="10"/>
  <c r="AB84" i="10"/>
  <c r="AB86" i="10"/>
  <c r="AB87" i="10"/>
  <c r="AB89" i="10"/>
  <c r="AB90" i="10"/>
  <c r="AB93" i="10"/>
  <c r="AB94" i="10"/>
  <c r="AB97" i="10"/>
  <c r="AB98" i="10"/>
  <c r="AB101" i="10"/>
  <c r="AB102" i="10"/>
  <c r="AB105" i="10"/>
  <c r="AB106" i="10"/>
  <c r="AB108" i="10"/>
  <c r="AB109" i="10"/>
  <c r="AB111" i="10"/>
  <c r="AB112" i="10"/>
  <c r="AB115" i="10"/>
  <c r="AB116" i="10"/>
  <c r="AB119" i="10"/>
  <c r="AB120" i="10"/>
  <c r="AB122" i="10"/>
  <c r="AB123" i="10"/>
  <c r="AB125" i="10"/>
  <c r="AB126" i="10"/>
  <c r="AB129" i="10"/>
  <c r="AB130" i="10"/>
  <c r="AB132" i="10"/>
  <c r="AB135" i="10"/>
  <c r="AB136" i="10"/>
  <c r="AB138" i="10"/>
  <c r="AB139" i="10"/>
  <c r="AB141" i="10"/>
  <c r="AB142" i="10"/>
  <c r="AB144" i="10"/>
  <c r="AB145" i="10"/>
  <c r="AB147" i="10"/>
  <c r="AB148" i="10"/>
  <c r="AB150" i="10"/>
  <c r="AB151" i="10"/>
  <c r="AB153" i="10"/>
  <c r="AB154" i="10"/>
  <c r="AB156" i="10"/>
  <c r="AB157" i="10"/>
  <c r="AB159" i="10"/>
  <c r="AB160" i="10"/>
  <c r="AB162" i="10"/>
  <c r="AB163" i="10"/>
  <c r="AB165" i="10"/>
  <c r="AB166" i="10"/>
  <c r="AB168" i="10"/>
  <c r="AB169" i="10"/>
  <c r="AB171" i="10"/>
  <c r="AB172" i="10"/>
  <c r="AB174" i="10"/>
  <c r="AB175" i="10"/>
  <c r="AB177" i="10"/>
  <c r="AB178" i="10"/>
  <c r="AB181" i="10"/>
  <c r="AB182" i="10"/>
  <c r="AB183" i="10"/>
  <c r="AB184" i="10"/>
  <c r="AB186" i="10"/>
  <c r="AB187" i="10"/>
  <c r="AB188" i="10"/>
  <c r="AB189" i="10"/>
  <c r="AB191" i="10"/>
  <c r="AB192" i="10"/>
  <c r="AB194" i="10"/>
  <c r="AB198" i="10"/>
  <c r="AB199" i="10"/>
  <c r="AB202" i="10"/>
  <c r="AB203" i="10"/>
  <c r="AB205" i="10"/>
  <c r="AB206" i="10"/>
  <c r="AB209" i="10"/>
  <c r="AB210" i="10"/>
  <c r="AB3" i="10"/>
  <c r="AC3" i="10" s="1"/>
  <c r="F211" i="10"/>
  <c r="D211" i="10"/>
  <c r="R209" i="10"/>
  <c r="R202" i="10"/>
  <c r="R198" i="10"/>
  <c r="S198" i="10" s="1"/>
  <c r="T198" i="10" s="1"/>
  <c r="R191" i="10"/>
  <c r="S191" i="10" s="1"/>
  <c r="R186" i="10"/>
  <c r="S186" i="10" s="1"/>
  <c r="R181" i="10"/>
  <c r="R177" i="10"/>
  <c r="R174" i="10"/>
  <c r="R168" i="10"/>
  <c r="R165" i="10"/>
  <c r="R159" i="10"/>
  <c r="S159" i="10" s="1"/>
  <c r="R153" i="10"/>
  <c r="S153" i="10" s="1"/>
  <c r="R150" i="10"/>
  <c r="R144" i="10"/>
  <c r="R138" i="10"/>
  <c r="R132" i="10"/>
  <c r="R129" i="10"/>
  <c r="R125" i="10"/>
  <c r="R119" i="10"/>
  <c r="R115" i="10"/>
  <c r="S115" i="10" s="1"/>
  <c r="R111" i="10"/>
  <c r="S111" i="10" s="1"/>
  <c r="R108" i="10"/>
  <c r="R105" i="10"/>
  <c r="R101" i="10"/>
  <c r="S101" i="10" s="1"/>
  <c r="R97" i="10"/>
  <c r="R93" i="10"/>
  <c r="R89" i="10"/>
  <c r="S89" i="10" s="1"/>
  <c r="R83" i="10"/>
  <c r="S83" i="10" s="1"/>
  <c r="R80" i="10"/>
  <c r="R77" i="10"/>
  <c r="R74" i="10"/>
  <c r="R71" i="10"/>
  <c r="R68" i="10"/>
  <c r="R65" i="10"/>
  <c r="R62" i="10"/>
  <c r="R59" i="10"/>
  <c r="R56" i="10"/>
  <c r="R49" i="10"/>
  <c r="R46" i="10"/>
  <c r="R42" i="10"/>
  <c r="S42" i="10" s="1"/>
  <c r="R36" i="10"/>
  <c r="R33" i="10"/>
  <c r="R24" i="10"/>
  <c r="S24" i="10" s="1"/>
  <c r="R21" i="10"/>
  <c r="R18" i="10"/>
  <c r="R15" i="10"/>
  <c r="R9" i="10"/>
  <c r="R3" i="10"/>
  <c r="S3" i="10" s="1"/>
  <c r="BH5" i="16" l="1"/>
  <c r="BF5" i="16"/>
  <c r="BG5" i="16" s="1"/>
  <c r="BE5" i="16"/>
  <c r="BD5" i="16"/>
  <c r="BC5" i="16"/>
  <c r="P19" i="16"/>
  <c r="BB6" i="16"/>
  <c r="BC6" i="16"/>
  <c r="AD169" i="10"/>
  <c r="AC169" i="10"/>
  <c r="AD132" i="10"/>
  <c r="AE132" i="10" s="1"/>
  <c r="AC132" i="10"/>
  <c r="AD80" i="10"/>
  <c r="AE80" i="10" s="1"/>
  <c r="AC80" i="10"/>
  <c r="AD52" i="10"/>
  <c r="AE52" i="10" s="1"/>
  <c r="AC52" i="10"/>
  <c r="AD24" i="10"/>
  <c r="AE24" i="10" s="1"/>
  <c r="AC24" i="10"/>
  <c r="AD205" i="10"/>
  <c r="AE205" i="10" s="1"/>
  <c r="AC205" i="10"/>
  <c r="AD194" i="10"/>
  <c r="AE194" i="10" s="1"/>
  <c r="AC194" i="10"/>
  <c r="AD186" i="10"/>
  <c r="AE186" i="10" s="1"/>
  <c r="AC186" i="10"/>
  <c r="AD177" i="10"/>
  <c r="AE177" i="10" s="1"/>
  <c r="AC177" i="10"/>
  <c r="AD168" i="10"/>
  <c r="AE168" i="10" s="1"/>
  <c r="AC168" i="10"/>
  <c r="AD159" i="10"/>
  <c r="AE159" i="10" s="1"/>
  <c r="AC159" i="10"/>
  <c r="AD150" i="10"/>
  <c r="AE150" i="10" s="1"/>
  <c r="AC150" i="10"/>
  <c r="AD141" i="10"/>
  <c r="AE141" i="10" s="1"/>
  <c r="AC141" i="10"/>
  <c r="AD130" i="10"/>
  <c r="AE130" i="10" s="1"/>
  <c r="AC130" i="10"/>
  <c r="AD120" i="10"/>
  <c r="AC120" i="10"/>
  <c r="AD109" i="10"/>
  <c r="AE109" i="10" s="1"/>
  <c r="AC109" i="10"/>
  <c r="AD98" i="10"/>
  <c r="AE98" i="10" s="1"/>
  <c r="AC98" i="10"/>
  <c r="AD87" i="10"/>
  <c r="AE87" i="10" s="1"/>
  <c r="AC87" i="10"/>
  <c r="AD78" i="10"/>
  <c r="AC78" i="10"/>
  <c r="AD69" i="10"/>
  <c r="AE69" i="10" s="1"/>
  <c r="AC69" i="10"/>
  <c r="AD60" i="10"/>
  <c r="AE60" i="10" s="1"/>
  <c r="AC60" i="10"/>
  <c r="AD50" i="10"/>
  <c r="AC50" i="10"/>
  <c r="AD40" i="10"/>
  <c r="AE40" i="10" s="1"/>
  <c r="AC40" i="10"/>
  <c r="AD31" i="10"/>
  <c r="AE31" i="10" s="1"/>
  <c r="AC31" i="10"/>
  <c r="AD22" i="10"/>
  <c r="AE22" i="10" s="1"/>
  <c r="AC22" i="10"/>
  <c r="AD13" i="10"/>
  <c r="AE13" i="10" s="1"/>
  <c r="AC13" i="10"/>
  <c r="AD4" i="10"/>
  <c r="AC4" i="10"/>
  <c r="AD103" i="10"/>
  <c r="AE103" i="10" s="1"/>
  <c r="AC103" i="10"/>
  <c r="AD127" i="10"/>
  <c r="AE127" i="10" s="1"/>
  <c r="AC127" i="10"/>
  <c r="AD206" i="10"/>
  <c r="AE206" i="10" s="1"/>
  <c r="AC206" i="10"/>
  <c r="AD160" i="10"/>
  <c r="AC160" i="10"/>
  <c r="AD122" i="10"/>
  <c r="AE122" i="10" s="1"/>
  <c r="AC122" i="10"/>
  <c r="AD62" i="10"/>
  <c r="AE62" i="10" s="1"/>
  <c r="AC62" i="10"/>
  <c r="AD15" i="10"/>
  <c r="AE15" i="10" s="1"/>
  <c r="AC15" i="10"/>
  <c r="AD203" i="10"/>
  <c r="AC203" i="10"/>
  <c r="AD192" i="10"/>
  <c r="AC192" i="10"/>
  <c r="AD184" i="10"/>
  <c r="AE184" i="10" s="1"/>
  <c r="AC184" i="10"/>
  <c r="AD175" i="10"/>
  <c r="AE175" i="10" s="1"/>
  <c r="AC175" i="10"/>
  <c r="AD166" i="10"/>
  <c r="AE166" i="10" s="1"/>
  <c r="AC166" i="10"/>
  <c r="AD157" i="10"/>
  <c r="AE157" i="10" s="1"/>
  <c r="AC157" i="10"/>
  <c r="AD148" i="10"/>
  <c r="AE148" i="10" s="1"/>
  <c r="AC148" i="10"/>
  <c r="AD139" i="10"/>
  <c r="AC139" i="10"/>
  <c r="AD129" i="10"/>
  <c r="AE129" i="10" s="1"/>
  <c r="AC129" i="10"/>
  <c r="AD119" i="10"/>
  <c r="AE119" i="10" s="1"/>
  <c r="AC119" i="10"/>
  <c r="AD108" i="10"/>
  <c r="AE108" i="10" s="1"/>
  <c r="AC108" i="10"/>
  <c r="AD97" i="10"/>
  <c r="AE97" i="10" s="1"/>
  <c r="AC97" i="10"/>
  <c r="AD86" i="10"/>
  <c r="AE86" i="10" s="1"/>
  <c r="AC86" i="10"/>
  <c r="AD77" i="10"/>
  <c r="AE77" i="10" s="1"/>
  <c r="AC77" i="10"/>
  <c r="AD68" i="10"/>
  <c r="AE68" i="10" s="1"/>
  <c r="AC68" i="10"/>
  <c r="AD59" i="10"/>
  <c r="AE59" i="10" s="1"/>
  <c r="AC59" i="10"/>
  <c r="AD49" i="10"/>
  <c r="AE49" i="10" s="1"/>
  <c r="AC49" i="10"/>
  <c r="AD39" i="10"/>
  <c r="AE39" i="10" s="1"/>
  <c r="AC39" i="10"/>
  <c r="AD30" i="10"/>
  <c r="AE30" i="10" s="1"/>
  <c r="AC30" i="10"/>
  <c r="AD21" i="10"/>
  <c r="AE21" i="10" s="1"/>
  <c r="AC21" i="10"/>
  <c r="AD12" i="10"/>
  <c r="AE12" i="10" s="1"/>
  <c r="AC12" i="10"/>
  <c r="AD196" i="10"/>
  <c r="AE196" i="10" s="1"/>
  <c r="AC196" i="10"/>
  <c r="AD99" i="10"/>
  <c r="AE99" i="10" s="1"/>
  <c r="AC99" i="10"/>
  <c r="AD133" i="10"/>
  <c r="AC133" i="10"/>
  <c r="AD195" i="10"/>
  <c r="AE195" i="10" s="1"/>
  <c r="AC195" i="10"/>
  <c r="AD151" i="10"/>
  <c r="AE151" i="10" s="1"/>
  <c r="AC151" i="10"/>
  <c r="AD101" i="10"/>
  <c r="AE101" i="10" s="1"/>
  <c r="AC101" i="10"/>
  <c r="AD33" i="10"/>
  <c r="AE33" i="10" s="1"/>
  <c r="AC33" i="10"/>
  <c r="AD44" i="10"/>
  <c r="AE44" i="10" s="1"/>
  <c r="AC44" i="10"/>
  <c r="AD202" i="10"/>
  <c r="AE202" i="10" s="1"/>
  <c r="AC202" i="10"/>
  <c r="AD191" i="10"/>
  <c r="AE191" i="10" s="1"/>
  <c r="AC191" i="10"/>
  <c r="AD183" i="10"/>
  <c r="AE183" i="10" s="1"/>
  <c r="AC183" i="10"/>
  <c r="AD174" i="10"/>
  <c r="AE174" i="10" s="1"/>
  <c r="AC174" i="10"/>
  <c r="AD165" i="10"/>
  <c r="AE165" i="10" s="1"/>
  <c r="AC165" i="10"/>
  <c r="AD156" i="10"/>
  <c r="AE156" i="10" s="1"/>
  <c r="AC156" i="10"/>
  <c r="AD147" i="10"/>
  <c r="AE147" i="10" s="1"/>
  <c r="AC147" i="10"/>
  <c r="AD138" i="10"/>
  <c r="AE138" i="10" s="1"/>
  <c r="AC138" i="10"/>
  <c r="AD126" i="10"/>
  <c r="AE126" i="10" s="1"/>
  <c r="AC126" i="10"/>
  <c r="AD116" i="10"/>
  <c r="AE116" i="10" s="1"/>
  <c r="AC116" i="10"/>
  <c r="AD106" i="10"/>
  <c r="AE106" i="10" s="1"/>
  <c r="AC106" i="10"/>
  <c r="AD94" i="10"/>
  <c r="AE94" i="10" s="1"/>
  <c r="AC94" i="10"/>
  <c r="AD84" i="10"/>
  <c r="AC84" i="10"/>
  <c r="AD75" i="10"/>
  <c r="AE75" i="10" s="1"/>
  <c r="AC75" i="10"/>
  <c r="AD66" i="10"/>
  <c r="AE66" i="10" s="1"/>
  <c r="AC66" i="10"/>
  <c r="AD57" i="10"/>
  <c r="AE57" i="10" s="1"/>
  <c r="AC57" i="10"/>
  <c r="AD47" i="10"/>
  <c r="AE47" i="10" s="1"/>
  <c r="AC47" i="10"/>
  <c r="AD37" i="10"/>
  <c r="AC37" i="10"/>
  <c r="AD28" i="10"/>
  <c r="AC28" i="10"/>
  <c r="AD19" i="10"/>
  <c r="AE19" i="10" s="1"/>
  <c r="AC19" i="10"/>
  <c r="AD10" i="10"/>
  <c r="AC10" i="10"/>
  <c r="AD200" i="10"/>
  <c r="AE200" i="10" s="1"/>
  <c r="AC200" i="10"/>
  <c r="AD95" i="10"/>
  <c r="AE95" i="10" s="1"/>
  <c r="AC95" i="10"/>
  <c r="AD179" i="10"/>
  <c r="AE179" i="10" s="1"/>
  <c r="AC179" i="10"/>
  <c r="AD187" i="10"/>
  <c r="AC187" i="10"/>
  <c r="AD111" i="10"/>
  <c r="AE111" i="10" s="1"/>
  <c r="AC111" i="10"/>
  <c r="AD210" i="10"/>
  <c r="AE210" i="10" s="1"/>
  <c r="AC210" i="10"/>
  <c r="AD199" i="10"/>
  <c r="AE199" i="10" s="1"/>
  <c r="AC199" i="10"/>
  <c r="AD189" i="10"/>
  <c r="AE189" i="10" s="1"/>
  <c r="AC189" i="10"/>
  <c r="AD182" i="10"/>
  <c r="AC182" i="10"/>
  <c r="AD172" i="10"/>
  <c r="AE172" i="10" s="1"/>
  <c r="AC172" i="10"/>
  <c r="AD163" i="10"/>
  <c r="AE163" i="10" s="1"/>
  <c r="AC163" i="10"/>
  <c r="AD154" i="10"/>
  <c r="AC154" i="10"/>
  <c r="AD145" i="10"/>
  <c r="AC145" i="10"/>
  <c r="AD136" i="10"/>
  <c r="AE136" i="10" s="1"/>
  <c r="AC136" i="10"/>
  <c r="AD125" i="10"/>
  <c r="AE125" i="10" s="1"/>
  <c r="AC125" i="10"/>
  <c r="AD115" i="10"/>
  <c r="AE115" i="10" s="1"/>
  <c r="AC115" i="10"/>
  <c r="AD105" i="10"/>
  <c r="AE105" i="10" s="1"/>
  <c r="AC105" i="10"/>
  <c r="AD93" i="10"/>
  <c r="AE93" i="10" s="1"/>
  <c r="AC93" i="10"/>
  <c r="AD83" i="10"/>
  <c r="AE83" i="10" s="1"/>
  <c r="AC83" i="10"/>
  <c r="AD74" i="10"/>
  <c r="AE74" i="10" s="1"/>
  <c r="AC74" i="10"/>
  <c r="AD65" i="10"/>
  <c r="AE65" i="10" s="1"/>
  <c r="AC65" i="10"/>
  <c r="AD56" i="10"/>
  <c r="AE56" i="10" s="1"/>
  <c r="AC56" i="10"/>
  <c r="AD46" i="10"/>
  <c r="AE46" i="10" s="1"/>
  <c r="AC46" i="10"/>
  <c r="AD36" i="10"/>
  <c r="AE36" i="10" s="1"/>
  <c r="AC36" i="10"/>
  <c r="AD27" i="10"/>
  <c r="AE27" i="10" s="1"/>
  <c r="AC27" i="10"/>
  <c r="AD18" i="10"/>
  <c r="AE18" i="10" s="1"/>
  <c r="AC18" i="10"/>
  <c r="AD9" i="10"/>
  <c r="AE9" i="10" s="1"/>
  <c r="AC9" i="10"/>
  <c r="AD207" i="10"/>
  <c r="AE207" i="10" s="1"/>
  <c r="AC207" i="10"/>
  <c r="AD91" i="10"/>
  <c r="AE91" i="10" s="1"/>
  <c r="AC91" i="10"/>
  <c r="AD178" i="10"/>
  <c r="AE178" i="10" s="1"/>
  <c r="AC178" i="10"/>
  <c r="AD142" i="10"/>
  <c r="AE142" i="10" s="1"/>
  <c r="AC142" i="10"/>
  <c r="AD89" i="10"/>
  <c r="AE89" i="10" s="1"/>
  <c r="AC89" i="10"/>
  <c r="AD71" i="10"/>
  <c r="AE71" i="10" s="1"/>
  <c r="AC71" i="10"/>
  <c r="AD42" i="10"/>
  <c r="AE42" i="10" s="1"/>
  <c r="AC42" i="10"/>
  <c r="AD113" i="10"/>
  <c r="AE113" i="10" s="1"/>
  <c r="AC113" i="10"/>
  <c r="AD209" i="10"/>
  <c r="AE209" i="10" s="1"/>
  <c r="AC209" i="10"/>
  <c r="AD198" i="10"/>
  <c r="AE198" i="10" s="1"/>
  <c r="AC198" i="10"/>
  <c r="AD188" i="10"/>
  <c r="AE188" i="10" s="1"/>
  <c r="AC188" i="10"/>
  <c r="AD181" i="10"/>
  <c r="AE181" i="10" s="1"/>
  <c r="AC181" i="10"/>
  <c r="AD171" i="10"/>
  <c r="AE171" i="10" s="1"/>
  <c r="AC171" i="10"/>
  <c r="AD162" i="10"/>
  <c r="AE162" i="10" s="1"/>
  <c r="AC162" i="10"/>
  <c r="AD153" i="10"/>
  <c r="AE153" i="10" s="1"/>
  <c r="AC153" i="10"/>
  <c r="AD144" i="10"/>
  <c r="AE144" i="10" s="1"/>
  <c r="AC144" i="10"/>
  <c r="AD135" i="10"/>
  <c r="AE135" i="10" s="1"/>
  <c r="AC135" i="10"/>
  <c r="AD123" i="10"/>
  <c r="AE123" i="10" s="1"/>
  <c r="AC123" i="10"/>
  <c r="AD112" i="10"/>
  <c r="AE112" i="10" s="1"/>
  <c r="AC112" i="10"/>
  <c r="AD102" i="10"/>
  <c r="AE102" i="10" s="1"/>
  <c r="AC102" i="10"/>
  <c r="AD90" i="10"/>
  <c r="AE90" i="10" s="1"/>
  <c r="AC90" i="10"/>
  <c r="AD81" i="10"/>
  <c r="AE81" i="10" s="1"/>
  <c r="AC81" i="10"/>
  <c r="AD72" i="10"/>
  <c r="AE72" i="10" s="1"/>
  <c r="AC72" i="10"/>
  <c r="AD63" i="10"/>
  <c r="AE63" i="10" s="1"/>
  <c r="AC63" i="10"/>
  <c r="AD53" i="10"/>
  <c r="AE53" i="10" s="1"/>
  <c r="AC53" i="10"/>
  <c r="AD43" i="10"/>
  <c r="AE43" i="10" s="1"/>
  <c r="AC43" i="10"/>
  <c r="AD34" i="10"/>
  <c r="AE34" i="10" s="1"/>
  <c r="AC34" i="10"/>
  <c r="AD25" i="10"/>
  <c r="AC25" i="10"/>
  <c r="AD16" i="10"/>
  <c r="AE16" i="10" s="1"/>
  <c r="AC16" i="10"/>
  <c r="AD7" i="10"/>
  <c r="AE7" i="10" s="1"/>
  <c r="AC7" i="10"/>
  <c r="AD117" i="10"/>
  <c r="AE117" i="10" s="1"/>
  <c r="AC117" i="10"/>
  <c r="AD54" i="10"/>
  <c r="AE54" i="10" s="1"/>
  <c r="AC54" i="10"/>
  <c r="S33" i="10"/>
  <c r="S105" i="10"/>
  <c r="T105" i="10" s="1"/>
  <c r="S165" i="10"/>
  <c r="T153" i="10" s="1"/>
  <c r="S93" i="10"/>
  <c r="S202" i="10"/>
  <c r="T202" i="10" s="1"/>
  <c r="AD6" i="10"/>
  <c r="AE6" i="10" s="1"/>
  <c r="S119" i="10"/>
  <c r="AE78" i="10"/>
  <c r="AD3" i="10"/>
  <c r="AE3" i="10" s="1"/>
  <c r="S174" i="10"/>
  <c r="T174" i="10" s="1"/>
  <c r="S144" i="10"/>
  <c r="T144" i="10" s="1"/>
  <c r="S59" i="10"/>
  <c r="S9" i="10"/>
  <c r="T3" i="10" s="1"/>
  <c r="S129" i="10"/>
  <c r="S46" i="10"/>
  <c r="BI5" i="16" l="1"/>
  <c r="BJ5" i="16" s="1"/>
  <c r="AD5" i="16" s="1"/>
  <c r="AF5" i="16" s="1"/>
  <c r="BM6" i="16"/>
  <c r="Q12" i="16"/>
  <c r="Q27" i="16" s="1"/>
  <c r="P27" i="16"/>
  <c r="P25" i="11"/>
  <c r="BH10" i="11" s="1"/>
  <c r="P46" i="11"/>
  <c r="P29" i="11"/>
  <c r="P62" i="11"/>
  <c r="P18" i="11"/>
  <c r="P58" i="11"/>
  <c r="P14" i="11"/>
  <c r="P24" i="11"/>
  <c r="P22" i="11"/>
  <c r="P48" i="11"/>
  <c r="P64" i="11"/>
  <c r="P28" i="11"/>
  <c r="P59" i="11"/>
  <c r="P23" i="11"/>
  <c r="P66" i="11"/>
  <c r="P60" i="11"/>
  <c r="P35" i="11"/>
  <c r="P19" i="11"/>
  <c r="P56" i="11"/>
  <c r="P34" i="11"/>
  <c r="P26" i="11"/>
  <c r="P32" i="11"/>
  <c r="P55" i="11"/>
  <c r="P17" i="11"/>
  <c r="P33" i="11"/>
  <c r="P27" i="11"/>
  <c r="P21" i="11"/>
  <c r="P30" i="11"/>
  <c r="P40" i="11"/>
  <c r="P4" i="11"/>
  <c r="P36" i="11"/>
  <c r="P51" i="11"/>
  <c r="P53" i="11"/>
  <c r="P15" i="11"/>
  <c r="P44" i="11"/>
  <c r="P43" i="11"/>
  <c r="P67" i="11"/>
  <c r="P6" i="11"/>
  <c r="P11" i="11"/>
  <c r="P50" i="11"/>
  <c r="T119" i="10"/>
  <c r="T33" i="10"/>
  <c r="S211" i="10"/>
  <c r="BM5" i="16" l="1"/>
  <c r="AH5" i="16" s="1"/>
  <c r="R12" i="16" s="1"/>
  <c r="R27" i="16" s="1"/>
  <c r="D5" i="4" s="1"/>
  <c r="BL5" i="16"/>
  <c r="AG5" i="16" s="1"/>
  <c r="BL4" i="16"/>
  <c r="AG4" i="16" s="1"/>
  <c r="AD4" i="16"/>
  <c r="AF4" i="16" s="1"/>
  <c r="BH19" i="11"/>
  <c r="P16" i="11"/>
  <c r="Q15" i="11" s="1"/>
  <c r="P68" i="11"/>
  <c r="Q67" i="11" s="1"/>
  <c r="P69" i="11"/>
  <c r="Q69" i="11" s="1"/>
  <c r="P37" i="11"/>
  <c r="Q37" i="11" s="1"/>
  <c r="P42" i="11"/>
  <c r="Q42" i="11" s="1"/>
  <c r="P41" i="11"/>
  <c r="P7" i="11"/>
  <c r="P9" i="11"/>
  <c r="P8" i="11"/>
  <c r="P10" i="11"/>
  <c r="Q10" i="11" s="1"/>
  <c r="P12" i="11"/>
  <c r="P13" i="11" s="1"/>
  <c r="BE17" i="11"/>
  <c r="BE16" i="11"/>
  <c r="P47" i="11"/>
  <c r="Q25" i="11"/>
  <c r="Q33" i="11"/>
  <c r="BE13" i="11"/>
  <c r="BF23" i="11"/>
  <c r="P57" i="11"/>
  <c r="Q56" i="11" s="1"/>
  <c r="Q58" i="11"/>
  <c r="BE24" i="11"/>
  <c r="BE6" i="11"/>
  <c r="P52" i="11"/>
  <c r="BE21" i="11"/>
  <c r="Q17" i="11"/>
  <c r="R17" i="11" s="1"/>
  <c r="BE8" i="11"/>
  <c r="P20" i="11"/>
  <c r="BF9" i="11"/>
  <c r="BK10" i="11"/>
  <c r="Q28" i="11"/>
  <c r="Q18" i="11"/>
  <c r="BE9" i="11"/>
  <c r="Q35" i="11"/>
  <c r="R35" i="11" s="1"/>
  <c r="BE14" i="11"/>
  <c r="BE26" i="11"/>
  <c r="P65" i="11"/>
  <c r="BE25" i="11"/>
  <c r="P63" i="11"/>
  <c r="Q62" i="11" s="1"/>
  <c r="Q50" i="11"/>
  <c r="BG20" i="11"/>
  <c r="BE5" i="11"/>
  <c r="Q55" i="11"/>
  <c r="BE23" i="11"/>
  <c r="P49" i="11"/>
  <c r="BE20" i="11"/>
  <c r="Q29" i="11"/>
  <c r="BL10" i="11"/>
  <c r="Q36" i="11"/>
  <c r="BE15" i="11"/>
  <c r="BE18" i="11"/>
  <c r="P61" i="11"/>
  <c r="BG24" i="11"/>
  <c r="Q22" i="11"/>
  <c r="BE10" i="11"/>
  <c r="BE19" i="11"/>
  <c r="Q43" i="11"/>
  <c r="BF19" i="11"/>
  <c r="P45" i="11"/>
  <c r="Q44" i="11" s="1"/>
  <c r="BI10" i="11"/>
  <c r="Q26" i="11"/>
  <c r="BE4" i="11"/>
  <c r="P5" i="11"/>
  <c r="Q32" i="11"/>
  <c r="R32" i="11" s="1"/>
  <c r="BE12" i="11"/>
  <c r="BE28" i="11"/>
  <c r="BE11" i="11"/>
  <c r="P31" i="11"/>
  <c r="BF7" i="11"/>
  <c r="Q21" i="11"/>
  <c r="BH9" i="11"/>
  <c r="Q23" i="11"/>
  <c r="BF10" i="11"/>
  <c r="Q24" i="11"/>
  <c r="BG10" i="11"/>
  <c r="BE22" i="11"/>
  <c r="P54" i="11"/>
  <c r="Q53" i="11" s="1"/>
  <c r="Q27" i="11"/>
  <c r="BJ10" i="11"/>
  <c r="Q34" i="11"/>
  <c r="BF13" i="11"/>
  <c r="Q59" i="11"/>
  <c r="BF24" i="11"/>
  <c r="Q14" i="11"/>
  <c r="BE7" i="11"/>
  <c r="Q66" i="11"/>
  <c r="R66" i="11" s="1"/>
  <c r="BE27" i="11"/>
  <c r="T211" i="10"/>
  <c r="BF25" i="11" l="1"/>
  <c r="BP25" i="11" s="1"/>
  <c r="BF20" i="11"/>
  <c r="BP20" i="11" s="1"/>
  <c r="AH8" i="11" s="1"/>
  <c r="BF15" i="11"/>
  <c r="BP15" i="11" s="1"/>
  <c r="BH24" i="11"/>
  <c r="BM24" i="11" s="1"/>
  <c r="BO24" i="11" s="1"/>
  <c r="BG9" i="11"/>
  <c r="BP9" i="11" s="1"/>
  <c r="BF11" i="11"/>
  <c r="BM11" i="11" s="1"/>
  <c r="BO11" i="11" s="1"/>
  <c r="BF21" i="11"/>
  <c r="BM21" i="11" s="1"/>
  <c r="BF22" i="11"/>
  <c r="BP22" i="11" s="1"/>
  <c r="BF28" i="11"/>
  <c r="BG28" i="11"/>
  <c r="BG19" i="11"/>
  <c r="BH5" i="11"/>
  <c r="BF5" i="11"/>
  <c r="BI5" i="11"/>
  <c r="BG5" i="11"/>
  <c r="O1" i="16"/>
  <c r="BF26" i="11"/>
  <c r="BM26" i="11" s="1"/>
  <c r="BO26" i="11" s="1"/>
  <c r="BG23" i="11"/>
  <c r="BP23" i="11" s="1"/>
  <c r="BI19" i="11"/>
  <c r="BF18" i="11"/>
  <c r="BG18" i="11"/>
  <c r="BG7" i="11"/>
  <c r="BP7" i="11" s="1"/>
  <c r="Q11" i="11"/>
  <c r="BF6" i="11"/>
  <c r="BG6" i="11" s="1"/>
  <c r="Q9" i="11"/>
  <c r="Q46" i="11"/>
  <c r="Q60" i="11"/>
  <c r="R58" i="11" s="1"/>
  <c r="Q48" i="11"/>
  <c r="R48" i="11" s="1"/>
  <c r="Q51" i="11"/>
  <c r="R51" i="11" s="1"/>
  <c r="Q19" i="11"/>
  <c r="R18" i="11" s="1"/>
  <c r="Q64" i="11"/>
  <c r="R64" i="11" s="1"/>
  <c r="Q8" i="11"/>
  <c r="Q6" i="11"/>
  <c r="Q30" i="11"/>
  <c r="R30" i="11" s="1"/>
  <c r="Q40" i="11"/>
  <c r="Q38" i="11"/>
  <c r="R38" i="11" s="1"/>
  <c r="Q39" i="11"/>
  <c r="R39" i="11" s="1"/>
  <c r="R36" i="11"/>
  <c r="BM10" i="11"/>
  <c r="BO10" i="11" s="1"/>
  <c r="R62" i="11"/>
  <c r="R53" i="11"/>
  <c r="BP12" i="11"/>
  <c r="BM12" i="11"/>
  <c r="BO12" i="11" s="1"/>
  <c r="R22" i="11"/>
  <c r="BP17" i="11"/>
  <c r="BM17" i="11"/>
  <c r="BO17" i="11" s="1"/>
  <c r="R55" i="11"/>
  <c r="BP14" i="11"/>
  <c r="BM14" i="11"/>
  <c r="BO14" i="11" s="1"/>
  <c r="BP16" i="11"/>
  <c r="BM16" i="11"/>
  <c r="BO16" i="11" s="1"/>
  <c r="R14" i="11"/>
  <c r="BF4" i="11"/>
  <c r="BM4" i="11" s="1"/>
  <c r="Q4" i="11"/>
  <c r="R4" i="11" s="1"/>
  <c r="BM13" i="11"/>
  <c r="BO13" i="11" s="1"/>
  <c r="BP13" i="11"/>
  <c r="BP8" i="11"/>
  <c r="BM8" i="11"/>
  <c r="BO8" i="11" s="1"/>
  <c r="P70" i="11"/>
  <c r="R33" i="11"/>
  <c r="BP27" i="11"/>
  <c r="AH11" i="11" s="1"/>
  <c r="S66" i="11" s="1"/>
  <c r="BM27" i="11"/>
  <c r="R67" i="11"/>
  <c r="BP21" i="11" l="1"/>
  <c r="AH9" i="11" s="1"/>
  <c r="S51" i="11" s="1"/>
  <c r="BM9" i="11"/>
  <c r="BO9" i="11" s="1"/>
  <c r="BP28" i="11"/>
  <c r="AH12" i="11" s="1"/>
  <c r="S67" i="11" s="1"/>
  <c r="BM20" i="11"/>
  <c r="AD8" i="11" s="1"/>
  <c r="BM19" i="11"/>
  <c r="BO19" i="11" s="1"/>
  <c r="BP11" i="11"/>
  <c r="BM5" i="11"/>
  <c r="BO5" i="11" s="1"/>
  <c r="BP24" i="11"/>
  <c r="BM18" i="11"/>
  <c r="BO18" i="11" s="1"/>
  <c r="BP26" i="11"/>
  <c r="R6" i="11"/>
  <c r="BM15" i="11"/>
  <c r="BO15" i="11" s="1"/>
  <c r="BP5" i="11"/>
  <c r="S48" i="11"/>
  <c r="R43" i="11"/>
  <c r="AH6" i="11"/>
  <c r="S36" i="11" s="1"/>
  <c r="BP10" i="11"/>
  <c r="BP19" i="11"/>
  <c r="BM22" i="11"/>
  <c r="BO22" i="11" s="1"/>
  <c r="BM7" i="11"/>
  <c r="BO7" i="11" s="1"/>
  <c r="R40" i="11"/>
  <c r="BM25" i="11"/>
  <c r="BO4" i="11"/>
  <c r="BM23" i="11"/>
  <c r="BO23" i="11" s="1"/>
  <c r="BM6" i="11"/>
  <c r="BO6" i="11" s="1"/>
  <c r="R11" i="11"/>
  <c r="BP4" i="11"/>
  <c r="BO21" i="11"/>
  <c r="BP18" i="11"/>
  <c r="BO27" i="11"/>
  <c r="AD11" i="11"/>
  <c r="BM28" i="11"/>
  <c r="AD7" i="11" l="1"/>
  <c r="AF7" i="11" s="1"/>
  <c r="AH10" i="11"/>
  <c r="S58" i="11" s="1"/>
  <c r="BO20" i="11"/>
  <c r="AH5" i="11"/>
  <c r="S14" i="11" s="1"/>
  <c r="AD6" i="11"/>
  <c r="AG6" i="11" s="1"/>
  <c r="AD5" i="11"/>
  <c r="AG5" i="11" s="1"/>
  <c r="AH7" i="11"/>
  <c r="S40" i="11" s="1"/>
  <c r="R70" i="11"/>
  <c r="AD9" i="11"/>
  <c r="AG9" i="11" s="1"/>
  <c r="Q70" i="11"/>
  <c r="AF8" i="11"/>
  <c r="AG8" i="11"/>
  <c r="AD4" i="11"/>
  <c r="BO25" i="11"/>
  <c r="AD10" i="11"/>
  <c r="BP6" i="11"/>
  <c r="AH4" i="11" s="1"/>
  <c r="S4" i="11" s="1"/>
  <c r="AG11" i="11"/>
  <c r="AF11" i="11"/>
  <c r="BO28" i="11"/>
  <c r="AD12" i="11"/>
  <c r="AG7" i="11" l="1"/>
  <c r="AF6" i="11"/>
  <c r="AF5" i="11"/>
  <c r="S70" i="11"/>
  <c r="O1" i="11" s="1"/>
  <c r="AF9" i="11"/>
  <c r="AG4" i="11"/>
  <c r="AF4" i="11"/>
  <c r="AF10" i="11"/>
  <c r="AG10" i="11"/>
  <c r="AG12" i="11"/>
  <c r="AF12" i="11"/>
  <c r="D4" i="4" l="1"/>
  <c r="F4" i="4" s="1"/>
  <c r="O5" i="4" s="1"/>
  <c r="P5" i="4" s="1"/>
  <c r="R4" i="4" l="1"/>
  <c r="R5" i="4"/>
  <c r="R3" i="4"/>
  <c r="R6" i="4" s="1"/>
  <c r="S5" i="4"/>
  <c r="S3" i="4"/>
  <c r="S6" i="4" s="1"/>
  <c r="S4" i="4"/>
</calcChain>
</file>

<file path=xl/comments1.xml><?xml version="1.0" encoding="utf-8"?>
<comments xmlns="http://schemas.openxmlformats.org/spreadsheetml/2006/main">
  <authors>
    <author>Basheer M. Hashem</author>
  </authors>
  <commentList>
    <comment ref="E1" authorId="0" shapeId="0">
      <text>
        <r>
          <rPr>
            <b/>
            <sz val="14"/>
            <color indexed="81"/>
            <rFont val="Tahoma"/>
            <family val="2"/>
          </rPr>
          <t>أدخل إسم المنظمة في تقييم الامتثال والالتزام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<sst xmlns="http://schemas.openxmlformats.org/spreadsheetml/2006/main" count="1553" uniqueCount="574">
  <si>
    <t>مكتبي</t>
  </si>
  <si>
    <t>لا</t>
  </si>
  <si>
    <t>صفر</t>
  </si>
  <si>
    <t>نعم</t>
  </si>
  <si>
    <t>السؤال</t>
  </si>
  <si>
    <t>الدرجة</t>
  </si>
  <si>
    <t>آلية التقييم</t>
  </si>
  <si>
    <t>آلية التحقق</t>
  </si>
  <si>
    <t>الحالة</t>
  </si>
  <si>
    <t>النسبة</t>
  </si>
  <si>
    <t>رقم السؤال</t>
  </si>
  <si>
    <t>رقم الممارسة</t>
  </si>
  <si>
    <t>رقم المؤشر</t>
  </si>
  <si>
    <t>ميداني</t>
  </si>
  <si>
    <t>يتم الانتقال إلى السؤال التالي</t>
  </si>
  <si>
    <t>لم يتم ذلك.</t>
  </si>
  <si>
    <t>مكتبي+ ميداني</t>
  </si>
  <si>
    <t>توجد بشكل متكامل</t>
  </si>
  <si>
    <t>هل توجد موافقة من الوزارة على ذلك؟</t>
  </si>
  <si>
    <t>توجد قرارات لكن بشكل جزئي</t>
  </si>
  <si>
    <t>توجد قرارات بشكل متكامل.</t>
  </si>
  <si>
    <t>تم الإفصاح بشكل متكامل.</t>
  </si>
  <si>
    <t>لم يتم الإفصاح عن ذلك.</t>
  </si>
  <si>
    <t>لم يتم النشر.</t>
  </si>
  <si>
    <t>هل تم توفير البيانات المطلوبة في النموذج الشامل في الوقت المحدّد؟</t>
  </si>
  <si>
    <t>لا تتطابق.</t>
  </si>
  <si>
    <t>تتطابق بشكل جزئي.</t>
  </si>
  <si>
    <t>تتطابق بشكل متكامل.</t>
  </si>
  <si>
    <t>رقم السؤال في الممارسة</t>
  </si>
  <si>
    <t>درجة السؤال</t>
  </si>
  <si>
    <t>درجة الممارسة</t>
  </si>
  <si>
    <t>درجة المؤشر</t>
  </si>
  <si>
    <t>اسم المنظمة</t>
  </si>
  <si>
    <t>الإيرادات والمصروفات والتملك</t>
  </si>
  <si>
    <t>الوثائق والسجلات</t>
  </si>
  <si>
    <t>الدرجة العامة</t>
  </si>
  <si>
    <t>درجة معيار الامتثال والالتزام</t>
  </si>
  <si>
    <t>درجة معيار الشفافية والإفصاح</t>
  </si>
  <si>
    <t>اختصاصات المشرف المالي</t>
  </si>
  <si>
    <t>التقييم</t>
  </si>
  <si>
    <t xml:space="preserve">المؤشر </t>
  </si>
  <si>
    <t>الممارسة</t>
  </si>
  <si>
    <t>نشر الأنظمة واللوائح والسياسات المعتمدة وإتاحتها للمستهدفين منها</t>
  </si>
  <si>
    <t>الإفصاح عن بيانات المؤسسة والقائمين على شؤونها والتفاعل مع المهتمين بها.</t>
  </si>
  <si>
    <t>نشر أهداف المؤسسة وتقارير البرامج والأنشطة المنفذة</t>
  </si>
  <si>
    <t>تنشر المؤسسة لوائحها وسياساتها المعتمدة للمستهدفين منها والتأكد من قدرتهم الوصول إليها بشكل مناسب،</t>
  </si>
  <si>
    <t>هل نشرت المؤسسة  لائحتها الأساسية المعتمدة في موقعها الإلكتروني؟</t>
  </si>
  <si>
    <t>لم يتم النشر .</t>
  </si>
  <si>
    <t>تم  النشر .</t>
  </si>
  <si>
    <t>هل نشرت المؤسسة سياسة حقوق الملكية الفكرية للمشاريع والبرامج المنفذة والمدعومة في موقعها الإلكتروني؟</t>
  </si>
  <si>
    <t>هل نشرت المؤسسة سياسة تعارض المصالح المعتمدة على أعضاء المجلس والعاملين لديها ؟</t>
  </si>
  <si>
    <t>1- موقع اللائحة الأساسية للمؤسسة المنشورة.</t>
  </si>
  <si>
    <t>1 - موقع سياسة حقوق الملكية الفكرية للمشاريع والبرامج المنفذة والمدعومة المنشورة .</t>
  </si>
  <si>
    <t>1 -وجود تعميم لسياسة تعارض المصالح لأعضاء المجلس والعاملين .</t>
  </si>
  <si>
    <t>هل نشرت المؤسس ة سياسة الرقابة الداخلية وآليات الإشراف والمتابعة على العاملين لديها ؟</t>
  </si>
  <si>
    <t>1 - وجود تعميم لسياسة الرقابة الداخلية وآليات الإشراف والمتابعة للعاملين .</t>
  </si>
  <si>
    <t>هل نش رت المؤسس ة سياسة المنح وتقديم المساعدا ت والخدمات في موقعها الإلكتروني ؟</t>
  </si>
  <si>
    <t>1 - موقع سياسة المنح وتقديم المساعدا ت والخدمات على الجهات المستهدفة المنشورة.</t>
  </si>
  <si>
    <t>هل نشرت المؤسسة سياسة خصوصية البيانات والإفصاح عن المعلومات الأساسي ة في موقعها الإلكتروني ؟</t>
  </si>
  <si>
    <t>1 - موقع سياسة خصوصية البيانات والإفصاح عن المعلومات الأساسية المنشورة .</t>
  </si>
  <si>
    <t>هل نش رت المؤسسة سياسة الإبلاغ عن المخالفات وحماية مقدمي البلاغات في موقعها الإلكتروني؟</t>
  </si>
  <si>
    <t>1 - موقع سياسة الإبلاغ عن المخالفات وحماية مقدمي البلاغات المنشورة .</t>
  </si>
  <si>
    <t>هل نشرت المؤسسة لائحة تنظيم العمل(الموارد البشرية) على العاملين لديها ؟</t>
  </si>
  <si>
    <t>1 - وجود تعميم للائحة تنظيم العمل (لموارد البشرية) للعاملين.</t>
  </si>
  <si>
    <t>تمتلك المؤسسة موقعا إلكترونيا يتم تحديثه بشكل دوري</t>
  </si>
  <si>
    <t>هل تمتلك المؤسسة موقعاً إلكترونياً خاصاً بها؟</t>
  </si>
  <si>
    <t>لا يوجد موقع إلكتروني</t>
  </si>
  <si>
    <t xml:space="preserve">1- وجود الموقع الالكتروني للمؤسسة  </t>
  </si>
  <si>
    <t>هل يتم تحديثه بشكل دوري وتنشر فيه جميع بيانات التواصل معها وعناوين منصاتها الإلكترونية؟</t>
  </si>
  <si>
    <t>1 - محتوى الموقع الإلكتروني الرسمي للمؤسسة.</t>
  </si>
  <si>
    <t>يتم تحديثة بشكل جزئي</t>
  </si>
  <si>
    <t>يتم تجديثة دورياً</t>
  </si>
  <si>
    <t xml:space="preserve">لا يتم تحديثه </t>
  </si>
  <si>
    <t>هل تم الإفصاح عن بيانات أعضاء مجلس الأمناء ومناصبهم في الموقع الإلكتروني؟</t>
  </si>
  <si>
    <t>1 - موقع قائمة أسماء أعضاء مجلس الأمناء المنشورة على الموقع الإلكتروني للمؤسسة .</t>
  </si>
  <si>
    <t>هل تم الإفصاح عن اسم المدير التنفيذي وبيانات التواصل معه في الموقع الإلكتروني؟</t>
  </si>
  <si>
    <t>1 - وجود اسم المدير التنفيذي وبيانات التواصل معه في الموقع الإلكتروني.</t>
  </si>
  <si>
    <t>لم يتم الإفصاح .</t>
  </si>
  <si>
    <t>تم الإفصاح .</t>
  </si>
  <si>
    <t>هل توجد فروع لدى المؤسسة ؟</t>
  </si>
  <si>
    <t>1 - وجود قائمة بالفروع التابعة للمؤسسة.</t>
  </si>
  <si>
    <t>لا يوجد</t>
  </si>
  <si>
    <t>هل تم الإفصاح عن أسماء الفروع ومديريها وبيانات التواصل معه م في الموقع الإلكتروني؟</t>
  </si>
  <si>
    <t>1 - وجود أسماء الفروع ومديريها وبيانات التواصل معهم في الموقع الإلكتروني للمؤسسة .</t>
  </si>
  <si>
    <t>هل توجد لجان دائمة في المؤسسة؟</t>
  </si>
  <si>
    <t>هل تم الإفصاح عن هذه اللجان الدائمة واختصاصاته ا في الموقع الإلكتروني؟</t>
  </si>
  <si>
    <t>1 - وجود قائمة أسماء اللجان الدائمة والمؤقتة .
2 - محتوى إجابات العاملين .</t>
  </si>
  <si>
    <t xml:space="preserve">لا توجد لجان دائمة.. </t>
  </si>
  <si>
    <t>1 - موقع قائمة بيانات اللجان الدائمة والمؤقتة وأعضائها واختصاصاته ا المنشورة .</t>
  </si>
  <si>
    <t>اللجان الدائمة واختصاصاتها.</t>
  </si>
  <si>
    <t>تتلقى المؤسسة الاستفسارات والمقترحات والشكاوى من أصحاب العلاق ة لديها ومن كافة أفراد المجتمع من خلال موقعها الإلكتروني أ و أحد منصاتها الإلكترونية الأخرى وتزودهم بالتغذية الراجعة .</t>
  </si>
  <si>
    <t>هل تتفاعل المؤسسة مع الاستفسارات والمقترحات والشكاو ى وتقدم التغذية الراجعة ؟</t>
  </si>
  <si>
    <t>لا يتم التفاعل</t>
  </si>
  <si>
    <t>يتم التفاعل</t>
  </si>
  <si>
    <t>2 - محتوى سجل الاستفسارات والمقترحات والشكاوى التي تم أو يتم معالجتها .</t>
  </si>
  <si>
    <t>رؤيتها ورسالتها وأهدافها</t>
  </si>
  <si>
    <t>تقارير البرامج والأنشطة أو الإنجازات</t>
  </si>
  <si>
    <t>هل نشرت المؤسس ة أهدافها في موقعها الإلكتروني ؟</t>
  </si>
  <si>
    <t>هل تنش ر المؤسسة تقارير برامجها وأنشطتها في موقعها الإلكتروني ؟</t>
  </si>
  <si>
    <t>1 -موقع أهداف المؤسسة المنشورة .</t>
  </si>
  <si>
    <t>1 - موقع تقارير برامج وأنشطة المؤسسة المنشورة.</t>
  </si>
  <si>
    <t>تم النشر بشكل جزئي</t>
  </si>
  <si>
    <t xml:space="preserve">تم النشر بشكل متكامل </t>
  </si>
  <si>
    <t>تم النشر ولكن بشكل جزئي</t>
  </si>
  <si>
    <t>توفير بيانات النموذج الشامل وتطابقه مع واقع المؤسسة</t>
  </si>
  <si>
    <t>1 - محتوى النموذج الشامل المحدّث للمؤسسة.</t>
  </si>
  <si>
    <t>توفر المؤسسة البيانات المطلوبة في النموذج الشامل في الوقت المحدّد وتتأكد من تطابقها ودقتها وتعتمدها من رئيس مجلس الأمناء.</t>
  </si>
  <si>
    <t>تم توفره بشكل جزئي.</t>
  </si>
  <si>
    <t>تم توفره بشكل متكامل.</t>
  </si>
  <si>
    <t>هل تم اعتماد النموذج من رئيس مجلس الأمناء ؟</t>
  </si>
  <si>
    <t>1 - محتوى النموذج الشامل المحدّث للمؤسسة بعد اعتماده من مجلس الأمناء .</t>
  </si>
  <si>
    <t xml:space="preserve">لم يتم الاعتماد. </t>
  </si>
  <si>
    <t>تم الاعتماد.</t>
  </si>
  <si>
    <t>هل تتطابق بيانات المؤسسة المعتمدة في النموذج الشامل مع واقع المؤسسة ؟</t>
  </si>
  <si>
    <t>1 - محتوى بيانات المؤسسة في النموذج الشامل.
2 - محتوى الشواهد الميدانية وتناسقها .</t>
  </si>
  <si>
    <t xml:space="preserve">المجال </t>
  </si>
  <si>
    <t xml:space="preserve">رقم المؤشر </t>
  </si>
  <si>
    <t>المؤشر الأساسي</t>
  </si>
  <si>
    <t xml:space="preserve">وزن المؤشر </t>
  </si>
  <si>
    <t>الموضوعات</t>
  </si>
  <si>
    <t xml:space="preserve">اللائحة الأساسية للمؤسسة  </t>
  </si>
  <si>
    <t>التزام المؤسسة بالضوابط والإجراءات المنظمة للائحتها الأساسية</t>
  </si>
  <si>
    <t>تحديد محتويات اللائحة الأساسية المؤسسة</t>
  </si>
  <si>
    <t>هل توجد لائحة أساسية للمؤسسة؟</t>
  </si>
  <si>
    <t xml:space="preserve">مكتبي </t>
  </si>
  <si>
    <t xml:space="preserve">لا </t>
  </si>
  <si>
    <t>لا توجد</t>
  </si>
  <si>
    <t>هل تشمل اللائحة الأساسية على البيانات الأساسية المحددة في الممارسة؟</t>
  </si>
  <si>
    <t>محتوى اللائحة الأساسية للمؤسسة.</t>
  </si>
  <si>
    <t xml:space="preserve">لا تشمل بشكل متكامل </t>
  </si>
  <si>
    <t>تشمل بشكل متكامل</t>
  </si>
  <si>
    <t>تحديد آلية تشكيل اللجان</t>
  </si>
  <si>
    <t>وجود اللائحة الأساسية للمؤسسة.</t>
  </si>
  <si>
    <t>هل حددت اللائحة الأساسية طريقة إنشاء الفروع داخل المملكة واختصاصاتها؟</t>
  </si>
  <si>
    <t>لم يتم تحديدها بشكل متكامل</t>
  </si>
  <si>
    <t>تم تحديدها بشكل متكامل</t>
  </si>
  <si>
    <t>هل حددت اللائحة الأساسية اختصاصات مجلس الأمناء الأساسية؟</t>
  </si>
  <si>
    <t>هل حددت الائحة آلية تشكيل اللجان الدائمة والمؤقتة؟</t>
  </si>
  <si>
    <t xml:space="preserve"> التعديل على اللائحة الأساسية للمؤسسة واعتماده</t>
  </si>
  <si>
    <t>هل تم التعديل على اللائحة الأساسية خلال الفترة السابقة؟</t>
  </si>
  <si>
    <t xml:space="preserve">ميداني </t>
  </si>
  <si>
    <t>1- محتوى اللائحة الأساسية المعتمدة للمؤسسة.
2- محتوى إجابات المعنيين</t>
  </si>
  <si>
    <t>لم يتم التعديل عليها</t>
  </si>
  <si>
    <t>هل تم مناقشة التعديلات واتخاذ القرارات من قبل  مجلس الأمناء؟</t>
  </si>
  <si>
    <t>محتوى محضر اجتماع مجلس الأمناء</t>
  </si>
  <si>
    <t>لم يتم ذلك</t>
  </si>
  <si>
    <t>هل توجد موافقة من الوزارة على التعديل على اللائحة؟</t>
  </si>
  <si>
    <t>وجود موافقة الوزارة</t>
  </si>
  <si>
    <t>لا توجد موافقة</t>
  </si>
  <si>
    <t>توجد موافقة</t>
  </si>
  <si>
    <t>مجلس الأمناء</t>
  </si>
  <si>
    <t>التزام المؤسسة بالأحكام والضوابط المنظمة لمجلس الأمناء وأعضائه وزيادة فاعليتهم</t>
  </si>
  <si>
    <t>تكوين مجلس الأمناء.</t>
  </si>
  <si>
    <t>هل عدد أعضاء المجلس ثلاثة أو أكثر ؟</t>
  </si>
  <si>
    <t>محتوى سجل بيانات أعضاء المجلس .</t>
  </si>
  <si>
    <t>لا يتكون المجلس من ثلاثة أعضاء أو أكثر .</t>
  </si>
  <si>
    <t>يتكون المجلس من ثلاثة أعضاء أو أكثر .</t>
  </si>
  <si>
    <t>هل تم إجراء أي تعديلات على أعضاء المجلس؟</t>
  </si>
  <si>
    <t>مكتبي + ميداني</t>
  </si>
  <si>
    <t>1 - محتوى سجل بيانات أعضاء المجلس .
2 -محتوى المراسلات التي تمت مع الوزارة .
3 - محتوى إجابات المعنيين .</t>
  </si>
  <si>
    <t>لم يتم إجراء تعديلات</t>
  </si>
  <si>
    <t>دورة مجلس الأمناء</t>
  </si>
  <si>
    <t>هل تم إبلاغ الوزارة بالتعديلات خلال خمسةعشر يوماً؟</t>
  </si>
  <si>
    <t>محتوى المراسلات التي تمت مع
الوزارة .</t>
  </si>
  <si>
    <t>لم يتم ابلاغ الوزارة</t>
  </si>
  <si>
    <t>تم إبلاغ الوزارة</t>
  </si>
  <si>
    <t>شروط العضوية في مجلس الأمناء</t>
  </si>
  <si>
    <t>هل تتحقق شروط العضوية في المجلس على جميع أعضائه؟</t>
  </si>
  <si>
    <t>1 -محتوى سجل بيانات أعضاء المجلس .
2 -محتوى اللائحة الأساسية للمؤسسة</t>
  </si>
  <si>
    <t>لا تتحقق</t>
  </si>
  <si>
    <t>تتحقق بشكل جزئي</t>
  </si>
  <si>
    <t>تتحقق بشكل متكامل</t>
  </si>
  <si>
    <t>تحديد رئيس المجلس</t>
  </si>
  <si>
    <t>هل قام المجلس بتحديد رئيساً له؟</t>
  </si>
  <si>
    <t>محتوى محضر اجتماع مجلس الأمناء .</t>
  </si>
  <si>
    <t>لم يتم تحديد رئيساً للمجلس</t>
  </si>
  <si>
    <t>تم تحديد رئيساً للمجلس</t>
  </si>
  <si>
    <t>تحديد الصلاحيات والإجراءات ومتابعتها</t>
  </si>
  <si>
    <t>هل تم تحديد الصلاحيات المفوّضة من قبل المجلس وإجراءات اتخاذ القرارات ؟</t>
  </si>
  <si>
    <t>محتوى قائمة الصلاحيات المفوّضة .</t>
  </si>
  <si>
    <t xml:space="preserve">لم يتم ذلك </t>
  </si>
  <si>
    <t>هل هناك متابعة دورية للصلاحيات المفوّضة والقرارات المتّخذة ؟</t>
  </si>
  <si>
    <t>محتوى تقارير المتابعة للصلاحيات والقرارات المتّخذة .</t>
  </si>
  <si>
    <t>لا توجد متابعة دورية</t>
  </si>
  <si>
    <t>توجد متابعة بشكل جزئي</t>
  </si>
  <si>
    <t>توجد متابعة بشكل متكامل</t>
  </si>
  <si>
    <t>تعريف أعضاء المجلس الجدد بعمل المؤسسة</t>
  </si>
  <si>
    <t>هل تم عقد برامج تعريفية لأعضاء المجلس خصوصاً  في الجوانب القانونية والمالية ؟</t>
  </si>
  <si>
    <t>محتوى تقارير البرامج التعريفية للأعضاء الجدد .</t>
  </si>
  <si>
    <t>تم عقد برامج تعريفية للمجلس</t>
  </si>
  <si>
    <t>تفعيل سياسات وأسس الحوكمة</t>
  </si>
  <si>
    <t>هل توجد لدى المؤسسة سياسة حقوق الملكية الفكرية للمشاريع والبرامج المنفذة والمدعومة. ؟</t>
  </si>
  <si>
    <t>1 - وجود سياسة حقوق الملكية الفكرية للمشاريع والبرامج المنفذة والمدعومة .</t>
  </si>
  <si>
    <t xml:space="preserve">لا توجد </t>
  </si>
  <si>
    <t>توجد</t>
  </si>
  <si>
    <t>هل توجد لدى المؤسسة سياسة تعارض المصالح ؟</t>
  </si>
  <si>
    <t>1 - وجود سياسة تعارض المصالح .</t>
  </si>
  <si>
    <t>هل توجد لدى المؤسسة سياسة الرقابة الداخلية وآليات الإشراف والمتابعة ؟</t>
  </si>
  <si>
    <t>1 - وجود سياسة الرقابة الداخلية وآليات الإشراف والمتابعة.</t>
  </si>
  <si>
    <t>هل توجد لدى المؤسسة سياسة المنح وتقديم المساعدات للجهات المستفيدة. ؟</t>
  </si>
  <si>
    <t>1 - وجود سياسة المنح وتقديم المساعدات للجهات المستفيدة.</t>
  </si>
  <si>
    <t>المتابعة والرقابة</t>
  </si>
  <si>
    <t>هل توجد لدى المؤسسة سياسة خصوصية البيانات والإفصاح عن المعلومات الأساسية ؟</t>
  </si>
  <si>
    <t>1 - وجود سياسة الإفصاح عن المعلومات الأساسية .</t>
  </si>
  <si>
    <t>هل توجد لدى المؤسسة سياسة حفظ الوثائق والسجلات وإتلافها؟</t>
  </si>
  <si>
    <t>1 - وجود سياسة حفظ الوثائق والسجلات وإتلافها .</t>
  </si>
  <si>
    <t>هل توجد لدى المؤسسة سياسة الإبلاغ عن المخالفات وحماية مقدمي البلاغات.</t>
  </si>
  <si>
    <t>1 - وجود سياسة الإبلاغ عن المخالفات وحماية مقدمي البلاغات.</t>
  </si>
  <si>
    <t>هل توجد لدى المؤسسة لائحة تنظيم العمل (الموارد البشرية) ؟</t>
  </si>
  <si>
    <t>1 - وجود لائحة تنظيم العمل (الموارد البشرية).</t>
  </si>
  <si>
    <t>المسؤوليات المالية والصلاحيات الممنوحة</t>
  </si>
  <si>
    <t>هل لدى المؤسسة حسابات بنكية؟</t>
  </si>
  <si>
    <t>1 - التقرير المالي.</t>
  </si>
  <si>
    <t>هل يتم التعامل مع الحسابات البنكية للمؤسسة بتوقيع رئيس المجلس أو نائبه والمشرف المالي -أو من يفوضه بموافقة الوزارة - ؟</t>
  </si>
  <si>
    <t>1 -صور الشيكات والتحويلات وسندات الصرف.
2 - وجود موافق ة الوزار ة</t>
  </si>
  <si>
    <t>لا يتم ذلك</t>
  </si>
  <si>
    <t>يتم ذلك بشكل متكامل</t>
  </si>
  <si>
    <t>انتظام اجتماعات مجلس الأمناء وعددها</t>
  </si>
  <si>
    <t>هل يعقد مجلس الأمناء اجتماعاته بشكل منتظم وبما لا يقل عن اجتماع واحد كل ثلاثة أشهر ؟</t>
  </si>
  <si>
    <t>1 - محاضر اجتماعات مجلس الأمناء .</t>
  </si>
  <si>
    <t>يتم ذلك بشكل جزئي</t>
  </si>
  <si>
    <t>اختصاصات رئيس المجلس أو نائبه في حال غيابه</t>
  </si>
  <si>
    <t xml:space="preserve">هل يتولى رئيس المجلس أو نائبه -في حال غيابه - دعوة الأعضاء ورئاسة الاجتماع والتوقيع على المحاضر؟ </t>
  </si>
  <si>
    <t>1 - محتوى محاضر اجتماعات المجلس .</t>
  </si>
  <si>
    <t xml:space="preserve">هل يقوم رئيس المجلس أو نائبه -أو من يفوض ه- بالتوقيع نيابة عن المؤسسة على جميع العقود والاتفاقات التي وافق مجلس الأمناء على إبرامها ؟ </t>
  </si>
  <si>
    <t>1 -محتوى العقود والاتفاقات.
2 -محتوى قرار موافقة المجلس على إبرام العقود.</t>
  </si>
  <si>
    <t xml:space="preserve">هل يقوم المشرف المالي -أو من يفوضه- بالقيام بجميع المهام المحددة في اللائحة الأساسية للمؤسسة ؟ </t>
  </si>
  <si>
    <t>1 -وجود تقارير ا لمشرف المالي الدورية .
2 -محتوى اللائحة الأساسية للمؤسسة .</t>
  </si>
  <si>
    <t>الإدارة التنفيذية</t>
  </si>
  <si>
    <t>التزام المؤسسة بالضوابط المنظمة للإدارة التنفيذية ومهامها</t>
  </si>
  <si>
    <t>تعيين المدير التنفيذي.</t>
  </si>
  <si>
    <t>هل يوجد مدير تنفيذي معيّن أو مكلف من قبل المجلس؟</t>
  </si>
  <si>
    <t>محتوى قرار تعيين المدير التنفيذي من المجلس .</t>
  </si>
  <si>
    <t>يوجد</t>
  </si>
  <si>
    <t>تكليف أحد أعضاء المجلس في الإدارة التنفيذية.</t>
  </si>
  <si>
    <t>هل تم إرسال نسخة من قرار التعيين إلى الوزارة مرفقا بها صورة من بطاقة  هوية المدير الوطنية أو تم أخذ موافقة الوزارة عند تكليف أحد أعضاء المجلس مؤقتا ليتولى هذا  العمل ؟</t>
  </si>
  <si>
    <t>محتوى المراسلات التي تمت بين المؤسسة والوزارة.</t>
  </si>
  <si>
    <t>تم ذلك</t>
  </si>
  <si>
    <t>شروط تعيين المدير التنفيذي</t>
  </si>
  <si>
    <t>هل تتحقق الشروط الواجب توافرها قي المدير التنفيذي والمحددة  في اللائحة الأساسية للمؤسسة مع المدير الحالي للمؤسسة؟</t>
  </si>
  <si>
    <t>1 -محتوى السيرة الذاتية للمدير التنفيذي .
2 -محتوى اللائحة الأساسية</t>
  </si>
  <si>
    <t>غير متحققة</t>
  </si>
  <si>
    <t>متحققة بشكل جزئي</t>
  </si>
  <si>
    <t>متحققة بشكل متكامل</t>
  </si>
  <si>
    <t>مهام المدير التنفيذي للمؤسسة</t>
  </si>
  <si>
    <t>هل يقوم المدير التنفيذي بالإشراف على حميع الأعمال الإدارية وشؤون الموظفين وجميع المهام المحددة في اللائحة الأساسية للمؤسسة؟</t>
  </si>
  <si>
    <t>1 -وجود تقارير المدير التنفيذي الدورية.
2 -محتوى اللائحة الأساسية للمؤسسة.</t>
  </si>
  <si>
    <t>الأنشطة والبرامج وإنشاء الفروع</t>
  </si>
  <si>
    <t>التزام المؤسسة بممارسة الأنشطة والبرامج وإنشاء الفروع وفق ما تحدده الأنطمة واللوائح</t>
  </si>
  <si>
    <t>شروط إنشاء الفروع داخل المملكة</t>
  </si>
  <si>
    <t>هل لدى المؤسسة فروع؟</t>
  </si>
  <si>
    <t xml:space="preserve">مكتبي + ميداني </t>
  </si>
  <si>
    <t>1 - محتوى قائمة فروع المؤسسة .</t>
  </si>
  <si>
    <t>هل توجد موافقة من مجلس الأمناء ومن الوزارة على فتح الفرع والحسابات الخاصة به؟</t>
  </si>
  <si>
    <t>1 - وجود موافقة مجلس الأمناء.
2 - وجود موافقة الوزارة على فتح الفرع وعلى فتح الحسابات الخاصة به.</t>
  </si>
  <si>
    <t>إدارة الفرع والعاملين فيه</t>
  </si>
  <si>
    <t>هل تم تعيين أو تكليف مديراً ومساعداً ومشرفاً مالياً للفرع</t>
  </si>
  <si>
    <t>1 - وجود قرارات التعيين أو التكليف للوظائف في الفرع.</t>
  </si>
  <si>
    <t xml:space="preserve">توجد بشكل جزئي </t>
  </si>
  <si>
    <t>ممارسة الأنشطة والبرامج وتجنب المحظورات.</t>
  </si>
  <si>
    <t>هل تمارس المؤسسة أي أنشطة لها خارج أهدافها المحددة في اللائحة الأساسية؟</t>
  </si>
  <si>
    <t>1 - محتوى اللائحة الأساسية المعتمدة للمؤسسة .
2 - محتوى تقارير البرامج والفعاليات.</t>
  </si>
  <si>
    <t>لا توجد أنشطة خارج أهداف المؤسسة</t>
  </si>
  <si>
    <t>توجد أنشطة خارج أهداف المؤسسة</t>
  </si>
  <si>
    <t>ممارسة المؤسسة للأنشطة خارج نطاقها الداري .</t>
  </si>
  <si>
    <t>هل تمارس المؤسسة أي نشاط لها خارج نطاقها الإداري؟</t>
  </si>
  <si>
    <t>1 - محتوى اللائحة الأساسية المعتمدة للمؤسسة .
2 - محتوى قائمة الفروع بالمؤسسة.</t>
  </si>
  <si>
    <t>لا توجد أنشطة خارج نطاقها الإداري</t>
  </si>
  <si>
    <t>هل توجد موافقة من الوزير أو من يفوضه؟</t>
  </si>
  <si>
    <t>1 - وجود موافقة الوزير أو من يفوّضه.</t>
  </si>
  <si>
    <t>المشاركة في الفعاليات والعضويات خارج المملكة.</t>
  </si>
  <si>
    <t>هل تمت المشاركة أو ممارسة أي فعالية أو نشاط خارج المملكة أو الحصول على عضوية من إحدى الجهات الدولية؟</t>
  </si>
  <si>
    <t>1 - محتوى تقارير البرامج والفعاليات.</t>
  </si>
  <si>
    <t>هل توجد موافقة كتابية من الوزير والجهة المختصة؟</t>
  </si>
  <si>
    <t>1 - وجود موافقة الوزير والجهة المختصة</t>
  </si>
  <si>
    <t>المختصة.</t>
  </si>
  <si>
    <t xml:space="preserve">التقارير </t>
  </si>
  <si>
    <t>التزام المؤسسة بإعداد التقارير الدورية المطلوبة ورفعها للوزارة خلال
الفترات المحدّدة</t>
  </si>
  <si>
    <t>التعاقد مع مراجع حسابات خارجي لإعداد التقارير المالية.</t>
  </si>
  <si>
    <t>هل تم التصديق على الحسابات الختامية للمؤسسة من قبل مراجع خارجي مرخص له ؟</t>
  </si>
  <si>
    <t>بداية ونهاية السنة المالية.</t>
  </si>
  <si>
    <t>هل تم رفع الحسابات الختامية المصدّقة للوزارة خلال الأربعة أشهر من نهاية السنة المالية ؟</t>
  </si>
  <si>
    <t>محتوى المراسلات التي تمت مع الوزارة .</t>
  </si>
  <si>
    <t>التقرير السنوي للبرامج والأنشطة.</t>
  </si>
  <si>
    <t>هل تم إعداد التقرير السنوي للبرامج والأنشطة ؟</t>
  </si>
  <si>
    <t>وجود التقرير السنوي للبرامج والأنشطة.</t>
  </si>
  <si>
    <t>لم يتم الإعداد</t>
  </si>
  <si>
    <t>تم الإعداد</t>
  </si>
  <si>
    <t>مكافحة جرائم تمويل الرهاب وغسل الأموال</t>
  </si>
  <si>
    <t>التزام المؤسسة بكافة مستوياتها الدارية بمكافحة جرائم تمويل الرهاب وغسل الأموال من خلال المؤشرات والسياسات والإجراءات الداخلية</t>
  </si>
  <si>
    <t>تحديد وفهم مخاطر تمويل الرهاب و تقييمها وتوثيقها وتحديثها بشكل مستمر.</t>
  </si>
  <si>
    <t>هل تم تقييم مخاطر تمويل الإرهاب وغسل الأموال ؟</t>
  </si>
  <si>
    <t>محتوى تقارير ورش العمل لتحديد المخاطر وتقييمها ووضع المؤشرات الدالة عليها .</t>
  </si>
  <si>
    <t xml:space="preserve">لم يتم التقييم </t>
  </si>
  <si>
    <t>وضع المؤشرات الدالة على وجود شبهة عمليات غسل أموال.</t>
  </si>
  <si>
    <t>هل تم الأخذ بالحسبان المخاطر المتأصلة والكامنة ؟</t>
  </si>
  <si>
    <t>اتخاذ القرارات بناءً على نتائج تقييم المخاطر المتعلقة بمكافحة تمويل جرائم الرهاب.</t>
  </si>
  <si>
    <t>محتوى تقارير ورش العمل لتحديد المخاطر وتقييمها ووضع المؤشرات الدالة عليها</t>
  </si>
  <si>
    <t>وضع السياسات والجراءات والضوابط وتنفيذها بفعالية لمكافحة تمويل الرهاب.</t>
  </si>
  <si>
    <t>تنفيذ البرامج التوعوية الداخلية الوقائية من جرائم تمويل الرهاب.</t>
  </si>
  <si>
    <t>هل تم وضع السياسات والإجراءات والضوابط المتعلقة بذلك؟</t>
  </si>
  <si>
    <t>محتوى السياسات والإجراءات المتعلقة بمكافحة تمويل الإرهاب وغسل الأموا ل</t>
  </si>
  <si>
    <t>الإجراءات المطلوبة عند الاشتباه بجريمة غسل أموال.</t>
  </si>
  <si>
    <t>هل تم تحديد الإجراءات اللازمة عند الاشتباه بجرائم غسل الأموال ؟</t>
  </si>
  <si>
    <t>لم يتم التحديد</t>
  </si>
  <si>
    <t>تم التحديد</t>
  </si>
  <si>
    <t>حظر إبلاغ أو تنبيه العميل أو أي شخص آخر ذو علاقة بشبهة غسل الأموال بالعمليات الجارية</t>
  </si>
  <si>
    <t>هل سبق أن اشتبهت المؤسسة في جريمة لغسل الأموال أو تمويل الإرهاب؟</t>
  </si>
  <si>
    <t>محتوى محاضر اجتماعات الإدارة التنفيذية .</t>
  </si>
  <si>
    <t>لم يتم الاشتباه</t>
  </si>
  <si>
    <t>هل التزمت المؤسسة بتبليغ الإدارة العامة للتحريات المالية فورًا ؟</t>
  </si>
  <si>
    <t>محتوى المراسلات التي تمت مع الإدارة العامة للتحريات.</t>
  </si>
  <si>
    <t>لم تلتزم</t>
  </si>
  <si>
    <t>التزمت</t>
  </si>
  <si>
    <t>التزام المؤسسة بالأنظمة والضوابط المنظمة للإيرادات والمصروفات وامتلاك العقارات</t>
  </si>
  <si>
    <t>مكونات الموارد المالية.</t>
  </si>
  <si>
    <t>هل جميع موارد المؤسسة المالية ضمن الموارد المحدّدة ؟</t>
  </si>
  <si>
    <t>1 - محتوى التقارير المالية الربعية والسنوية.</t>
  </si>
  <si>
    <t>ليس جميع الموارد المالية ضمن الموارد المحدّدة</t>
  </si>
  <si>
    <t>جميع الموارد المالية ضمن الموارد المحدّدة.</t>
  </si>
  <si>
    <t>استقبال التبرعات.</t>
  </si>
  <si>
    <t>هل التزم المؤسسون ومجلس الأمناء بتوفير السيولة اللازمة لتحقيق أهداف المؤسسة ؟</t>
  </si>
  <si>
    <t>1 - محتوى التقارير المالية الربعية والسنوية.
2 -عدم وجود تعثر أو مطالبات مالية.
3 -محتوى شكاوى المستفيدين</t>
  </si>
  <si>
    <t>لم يتم الالتزام.</t>
  </si>
  <si>
    <t>تم الالتزام بشكل جزئي.</t>
  </si>
  <si>
    <t>تم الالتزام بشكل متكامل</t>
  </si>
  <si>
    <t>إيداع أموال المؤسسة.</t>
  </si>
  <si>
    <t>هل تستقبل المؤسسة التبرعات ؟</t>
  </si>
  <si>
    <t>1 - محتوى التقارير المالية الربعية والسنوية؟</t>
  </si>
  <si>
    <t>1 - وجود موافقة الوزارة .</t>
  </si>
  <si>
    <t>التملك والاستثمار</t>
  </si>
  <si>
    <t>هل تمتلك المؤسسة عقارات خاصة بها ؟</t>
  </si>
  <si>
    <t>1 - محتوى التقرير المالي السنوي.</t>
  </si>
  <si>
    <t>لا تمتلك المؤسسة أي عقارات .</t>
  </si>
  <si>
    <t>هل توجد موافقة من المجلس؟</t>
  </si>
  <si>
    <t>1 - محتوى محضر اجتماع مجلس الأمناء .</t>
  </si>
  <si>
    <t>التعامل مع أموال الزكاة</t>
  </si>
  <si>
    <t>هل تتعامل المؤسسة مع أموال الزكاة؟</t>
  </si>
  <si>
    <t>1 - محتوى التقرير المالي
السنوي .</t>
  </si>
  <si>
    <t>لا تتعامل المؤسسة مع أموال الزكاة.</t>
  </si>
  <si>
    <t>صرف أموال المؤسسة لتحقيق أغراضها</t>
  </si>
  <si>
    <t>هل يوجد حساب مستقل وسجل خاص بمصارف الزكاة ؟</t>
  </si>
  <si>
    <t>1 - محتوى التقرير الماليالسنوي .
2 - وجود سجل حساب الزكاة .</t>
  </si>
  <si>
    <t>التزام المؤسسة بالأنظمة والضوابط المنظمة للوثائق والسجلات</t>
  </si>
  <si>
    <t>حفظ السجلات والمستندات المالية للتقيد بنظام مكافحة غسل الأموال.</t>
  </si>
  <si>
    <t>هل تحتفظ المؤسسة بالسجلات الإدارية والمحاسبية المطلوبة لمدة لا تقل عن عشر سنوات ؟</t>
  </si>
  <si>
    <t>1 -وجود السجلات الإدارية والمحاسبية-الورقية أو الالكترونية- .</t>
  </si>
  <si>
    <t>يتم الحفظ بشكل جزئي</t>
  </si>
  <si>
    <t>حفظ السجلات والمستندات وحفظها في مقر الدارة.</t>
  </si>
  <si>
    <t>يتم الحفظ بشكل متكامل</t>
  </si>
  <si>
    <t>المستويات التنظيمية للمؤسسة</t>
  </si>
  <si>
    <t>التزام المؤسسة بضوابط تكوين وتنظيم عمل اللجان الدائمة والمؤقتة</t>
  </si>
  <si>
    <t>الأجهزة الدارية في المؤسسة.</t>
  </si>
  <si>
    <t>هل توجد لجان دائمة أو مؤقتة تم تكوينها من قبل مجلس الأمناء ؟</t>
  </si>
  <si>
    <t>1 - وجود قائمة باللجان الدائمة والمؤقتة .
2 - محتوى إجابات المعنيين .</t>
  </si>
  <si>
    <t xml:space="preserve">لا يوجد </t>
  </si>
  <si>
    <t>قرارات تشكيل اللجان ومحتواها.</t>
  </si>
  <si>
    <t>هل توجد قرارات صادرة بتكوين هذه اللجان ؟</t>
  </si>
  <si>
    <t>لا توجد قرارات بتكوين هذه اللجان .</t>
  </si>
  <si>
    <t>وضع قواعد وإجراءات تنظيم عمل اللجان.</t>
  </si>
  <si>
    <t>هل اشتملت القرارات على مسمى كل لجنة وعدد أعضائها واختصاصاته ا بما في ذلك تسمية رئيسها؟</t>
  </si>
  <si>
    <t>1 - محتوى قرارات تكوين اللجا ن وأعضائها وتحديد اختصاصاتها .</t>
  </si>
  <si>
    <t>لم تشتمل على ذلك .</t>
  </si>
  <si>
    <t>اشتملت على ذلك .</t>
  </si>
  <si>
    <t xml:space="preserve">الوزن </t>
  </si>
  <si>
    <t xml:space="preserve">تحقيق النسبة </t>
  </si>
  <si>
    <t>الإجابة1</t>
  </si>
  <si>
    <t>الإجابة</t>
  </si>
  <si>
    <t>الدرجة للسؤال</t>
  </si>
  <si>
    <t>النتيجة</t>
  </si>
  <si>
    <t>كود السؤال</t>
  </si>
  <si>
    <r>
      <t xml:space="preserve">يوجد حساب مستقل </t>
    </r>
    <r>
      <rPr>
        <b/>
        <u/>
        <sz val="16"/>
        <color theme="1"/>
        <rFont val="Sakkal Majalla"/>
      </rPr>
      <t xml:space="preserve">أو </t>
    </r>
    <r>
      <rPr>
        <sz val="16"/>
        <color theme="1"/>
        <rFont val="Sakkal Majalla"/>
      </rPr>
      <t>سجل لمصارف الزكاة .</t>
    </r>
  </si>
  <si>
    <t>المجال</t>
  </si>
  <si>
    <t>الدرجة للإجابة</t>
  </si>
  <si>
    <t>-</t>
  </si>
  <si>
    <t>1-1-1</t>
  </si>
  <si>
    <t>1-1-2</t>
  </si>
  <si>
    <t>1-2-1</t>
  </si>
  <si>
    <t>1-2-2</t>
  </si>
  <si>
    <t>1-2-3</t>
  </si>
  <si>
    <t>1-2-4</t>
  </si>
  <si>
    <t>1-2-5</t>
  </si>
  <si>
    <t>1-3-1</t>
  </si>
  <si>
    <t>1-3-2</t>
  </si>
  <si>
    <t>1-3-3</t>
  </si>
  <si>
    <t>2-4-1</t>
  </si>
  <si>
    <t>2-4-2</t>
  </si>
  <si>
    <t>2-4-3</t>
  </si>
  <si>
    <t>2-5-1</t>
  </si>
  <si>
    <t>2-6-1</t>
  </si>
  <si>
    <t>2-6-2</t>
  </si>
  <si>
    <t>2-6-3</t>
  </si>
  <si>
    <t>2-6-4</t>
  </si>
  <si>
    <t>2-7-1</t>
  </si>
  <si>
    <t>2-7-2</t>
  </si>
  <si>
    <t>2-7-3</t>
  </si>
  <si>
    <t>2-7-4</t>
  </si>
  <si>
    <t>2-7-5</t>
  </si>
  <si>
    <t>2-7-6</t>
  </si>
  <si>
    <t>2-7-7</t>
  </si>
  <si>
    <t>2-7-8</t>
  </si>
  <si>
    <t>2-8-1</t>
  </si>
  <si>
    <t>2-8-2</t>
  </si>
  <si>
    <t>2-9-1</t>
  </si>
  <si>
    <t>2-10-1</t>
  </si>
  <si>
    <t>2-10-2</t>
  </si>
  <si>
    <t>2-11-1</t>
  </si>
  <si>
    <t>3-12-1</t>
  </si>
  <si>
    <t>3-12-2</t>
  </si>
  <si>
    <t>3-13-1</t>
  </si>
  <si>
    <t>3-14-1</t>
  </si>
  <si>
    <t>4-15-1</t>
  </si>
  <si>
    <t>4-15-2</t>
  </si>
  <si>
    <t>4-15-3</t>
  </si>
  <si>
    <t>4-16-1</t>
  </si>
  <si>
    <t>4-16-2</t>
  </si>
  <si>
    <t>4-16-3</t>
  </si>
  <si>
    <t>4-16-4</t>
  </si>
  <si>
    <t>4-16-5</t>
  </si>
  <si>
    <t>5-17-1</t>
  </si>
  <si>
    <t>5-17-2</t>
  </si>
  <si>
    <t>5-17-3</t>
  </si>
  <si>
    <t>6-18-1</t>
  </si>
  <si>
    <t>6-18-2</t>
  </si>
  <si>
    <t>6-19-1</t>
  </si>
  <si>
    <t>6-19-2</t>
  </si>
  <si>
    <t>6-20-1</t>
  </si>
  <si>
    <t>6-20-2</t>
  </si>
  <si>
    <t>6-20-3</t>
  </si>
  <si>
    <t>7-21-1</t>
  </si>
  <si>
    <t>7-21-2</t>
  </si>
  <si>
    <t>7-21-3</t>
  </si>
  <si>
    <t>7-21-4</t>
  </si>
  <si>
    <t>7-22-6</t>
  </si>
  <si>
    <t>7-22-7</t>
  </si>
  <si>
    <t>7-23-1</t>
  </si>
  <si>
    <t>7-23-2</t>
  </si>
  <si>
    <t>8-24-1</t>
  </si>
  <si>
    <t>9-25-1</t>
  </si>
  <si>
    <t>9-25-2</t>
  </si>
  <si>
    <t>9-25-3</t>
  </si>
  <si>
    <t>الكود</t>
  </si>
  <si>
    <t>كود الإجابة</t>
  </si>
  <si>
    <t>وزن المؤشر</t>
  </si>
  <si>
    <t>الشفافية والإفصاح</t>
  </si>
  <si>
    <t>الامتثال والالتزام</t>
  </si>
  <si>
    <t>نشر الأنظمة واللوائح والسياسات</t>
  </si>
  <si>
    <t>الإفصاح عن بيانات</t>
  </si>
  <si>
    <t>نشر أهداف المؤسسة</t>
  </si>
  <si>
    <t>توفير بيانات النموذج الشامل</t>
  </si>
  <si>
    <r>
      <t xml:space="preserve">يوجد حساب مستقل </t>
    </r>
    <r>
      <rPr>
        <b/>
        <u/>
        <sz val="16"/>
        <color theme="1"/>
        <rFont val="Sakkal Majalla"/>
      </rPr>
      <t>+</t>
    </r>
    <r>
      <rPr>
        <sz val="16"/>
        <color theme="1"/>
        <rFont val="Sakkal Majalla"/>
      </rPr>
      <t xml:space="preserve"> سجل لمصارف الزكاة .</t>
    </r>
  </si>
  <si>
    <t>السؤال 1</t>
  </si>
  <si>
    <t>السؤال 2</t>
  </si>
  <si>
    <t>السؤال 3</t>
  </si>
  <si>
    <t>السؤال 4</t>
  </si>
  <si>
    <t>السؤال 5</t>
  </si>
  <si>
    <t>السؤال 6</t>
  </si>
  <si>
    <t>السؤال 7</t>
  </si>
  <si>
    <t>السؤال 8</t>
  </si>
  <si>
    <t>مجموع درجات الممارسة</t>
  </si>
  <si>
    <t>درجة الممارسة العظمى</t>
  </si>
  <si>
    <t>% المحققة</t>
  </si>
  <si>
    <t>المؤشر</t>
  </si>
  <si>
    <t>درجة المؤشر العظمى</t>
  </si>
  <si>
    <t>درجة المؤشر للمنشأة</t>
  </si>
  <si>
    <t>% درجة المؤشر المحققة</t>
  </si>
  <si>
    <t>درجات النقص</t>
  </si>
  <si>
    <t>Value</t>
  </si>
  <si>
    <t>Degs</t>
  </si>
  <si>
    <t>x</t>
  </si>
  <si>
    <t>y</t>
  </si>
  <si>
    <t>الصغرى</t>
  </si>
  <si>
    <t>العظمى</t>
  </si>
  <si>
    <t>الربع 1</t>
  </si>
  <si>
    <t>الربع 2</t>
  </si>
  <si>
    <t>الربع 3</t>
  </si>
  <si>
    <t>الربع 4</t>
  </si>
  <si>
    <t>النتيجة الإجمالية</t>
  </si>
  <si>
    <t>Blank</t>
  </si>
  <si>
    <t>أسئلة ناقصة</t>
  </si>
  <si>
    <t>السؤال1</t>
  </si>
  <si>
    <t>السؤال2</t>
  </si>
  <si>
    <t>السؤال3</t>
  </si>
  <si>
    <t>السؤال4</t>
  </si>
  <si>
    <t>السؤال5</t>
  </si>
  <si>
    <t>السؤال6</t>
  </si>
  <si>
    <t>السؤال7</t>
  </si>
  <si>
    <t>السؤال8</t>
  </si>
  <si>
    <t>هل حددت اللائحة كيفية اختيار رئيس المجلس ونائبه والمشرف المالي واختصاصات كل منهم؟</t>
  </si>
  <si>
    <t>وجود التقرير المالي المصدّق من المراجع الخارجي .</t>
  </si>
  <si>
    <t>هل حددت اللائحة آلية تشكيل اللجان الدائمة والمؤقتة؟</t>
  </si>
  <si>
    <t>هل نشرت المؤسسة سياسة الرقابة الداخلية وآليات الإشراف والمتابعة على العاملين لديها ؟</t>
  </si>
  <si>
    <t>هل نشرت المؤسسة أهدافها في موقعها الإلكتروني ؟</t>
  </si>
  <si>
    <t>هل نشرت المؤسسة سياسة الإبلاغ عن المخالفات وحماية مقدمي البلاغات في موقعها الإلكتروني؟</t>
  </si>
  <si>
    <t>هل لدى المؤسسة نافذة لاستقبال الاستفسارات والمقترحات والشكاوى موضحة في موقعها الإلكتروني أو أحد منصاتها الإلكترونية؟</t>
  </si>
  <si>
    <t>1 - موقع نافذة استقبال الاستفسارات والمقترحات والشكاوى.</t>
  </si>
  <si>
    <t>تتلقى المؤسسة الاستفسارات والمقترحات والشكاوى من أصحاب العلاقة لديها ومن كافة أفراد المجتمع من خلال موقعها الإلكتروني أ و أحد منصاتها الإلكترونية الأخرى وتزودهم بالتغذية الراجعة .</t>
  </si>
  <si>
    <t>تتلقى المؤسسة الاستفسارات والمقترحات والشكاوى</t>
  </si>
  <si>
    <t xml:space="preserve">هل يقوم رئيس المجلس أو نائبه -أو من يفوضه- بالتوقيع نيابة عن المؤسسة على جميع العقود والاتفاقات التي وافق مجلس الأمناء على إبرامها ؟ </t>
  </si>
  <si>
    <t xml:space="preserve">هل يقوم المشرف المالي أو من يفوضه بالقيام بجميع المهام المحددة في اللائحة الأساسية للمؤسسة ؟ </t>
  </si>
  <si>
    <t>هل تتحقق الشروط الواجب توافرها في المدير التنفيذي والمحددة  في اللائحة الأساسية للمؤسسة مع المدير الحالي للمؤسسة؟</t>
  </si>
  <si>
    <t>هل يقوم المدير التنفيذي بالإشراف على جميع الأعمال الإدارية وشؤون الموظفين وجميع المهام المحددة في اللائحة الأساسية للمؤسسة؟</t>
  </si>
  <si>
    <t>1 - محتوى التقرير المالي السنوي .
2 - وجود سجل حساب الزكاة .</t>
  </si>
  <si>
    <t>1 -وجود السجلات الإدارية والمحاسبية-الورقية أو الإلكترونية- .</t>
  </si>
  <si>
    <t>1 - محتوى قرارات تكوين اللجان وأعضائها وتحديد اختصاصاتها .</t>
  </si>
  <si>
    <t>تحديد وفهم مخاطر تمويل الإرهاب و تقييمها وتوثيقها وتحديثها بشكل مستمر.</t>
  </si>
  <si>
    <t>تنفيذ البرامج التوعوية الداخلية الوقائية من جرائم تمويل الإرهاب.</t>
  </si>
  <si>
    <t>لا يتم استقبال التبرعات</t>
  </si>
  <si>
    <t>الأجهزة الإدارية في المؤسسة.</t>
  </si>
  <si>
    <t>هل تنشر المؤسسة تقارير برامجها وأنشطتها في موقعها الإلكتروني ؟</t>
  </si>
  <si>
    <t>هل توجد لائحة أساسية للمؤسسة معتمدة من المركز الوطني لتنمية القطاع غير الربحي وفق آخر تحديث ؟</t>
  </si>
  <si>
    <t>هل توجد موافقة من المركز على التعديل على اللائحة؟</t>
  </si>
  <si>
    <t>وجود موافقة المركز</t>
  </si>
  <si>
    <t>1 - محتوى سجل بيانات أعضاء المجلس .
2 -محتوى المراسلات التي تمت مع المركز .
3 - محتوى إجابات المعنيين .</t>
  </si>
  <si>
    <t>هل تم إبلاغ المركز بالتعديلات خلال خمسة عشر يوماً؟</t>
  </si>
  <si>
    <t>محتوى المراسلات التي تمت مع
المركز .</t>
  </si>
  <si>
    <t>هل قام المجلس بتحديد رئيساً له ونائب رئيس؟</t>
  </si>
  <si>
    <t>هل يتم التعامل مع الحسابات البنكية للمؤسسة بتوقيع رئيس المجلس أو نائبه والمشرف المالي -أو من يفوضه بموافقة المركز - ؟</t>
  </si>
  <si>
    <t>1 -صور الشيكات والتحويلات وسندات الصرف.
2 - وجود موافقة المركز</t>
  </si>
  <si>
    <t>هل تم إرسال نسخة من قرار التعيين إلى المركز مرفقا بها صورة من بطاقة  هوية المدير الوطنية أو تم أخذ موافقة المركز عند تكليف أحد أعضاء المجلس مؤقتا ليتولى هذا  العمل ؟</t>
  </si>
  <si>
    <t>محتوى المراسلات التي تمت بين المؤسسة والمركز.</t>
  </si>
  <si>
    <t>هل توجد موافقة من مجلس الأمناء ومن المركز على فتح الفرع والحسابات الخاصة به؟</t>
  </si>
  <si>
    <t>1 - وجود موافقة مجلس الأمناء.
2 - وجود موافقة المركز على فتح الفرع وعلى فتح الحسابات الخاصة به.</t>
  </si>
  <si>
    <t>ممارسة المؤسسة للأنشطة خارج نطاقها الجغرافي أو التخصصي .</t>
  </si>
  <si>
    <t>هل تمارس المؤسسة أي نشاط لها خارج نطاقها الجغرافي أو التخصصي؟</t>
  </si>
  <si>
    <t>هل تم رفع الحسابات الختامية المصدّقة وفق الإطار المعتمد للمركز خلال الأربعة أشهر من نهاية السنة المالية ؟</t>
  </si>
  <si>
    <t>محتوى المراسلات التي تمت مع المركز .</t>
  </si>
  <si>
    <t>اتخاذ القرارات بناءً على نتائج تقييم مصفوفة المخاطر المتعلقة بمكافحة تمويل جرائم الإرهاب.</t>
  </si>
  <si>
    <t>هل ساهمت المؤسسة في التوعية بغسل الأموال وتمويل الإرهاب؟</t>
  </si>
  <si>
    <t>1- تقرير أنشطة التوعية.
2- شهادات الحضور.</t>
  </si>
  <si>
    <t>هل تم بناء وتقييم مصفوفة مخاطر تمويل الإرهاب وغسل الأموال ؟</t>
  </si>
  <si>
    <t>محتوى تقارير ورش العمل لتحديد مصفوفة المخاطر وتقييمها ووضع المؤشرات الدالة عليها .</t>
  </si>
  <si>
    <t>هل تستقبل المؤسسة التبرعات من غير المؤسسين ؟</t>
  </si>
  <si>
    <t>هل توجد موافقة من المركز على ذلك؟</t>
  </si>
  <si>
    <t>1 - وجود موافقة المركز .</t>
  </si>
  <si>
    <t>تنشر المؤسسة لوائحها وسياساتها المعتمدة للمستهدفين منها وتتأكد من قدرتهم الوصول إليها بشكل مناسب،</t>
  </si>
  <si>
    <t>هل نشرت المؤسسة  لائحتها الأساسية المعتمدةمن المركز الوطني وفق آخر تحديث في موقعها الإلكتروني؟</t>
  </si>
  <si>
    <t>هل نشرت المؤسسة سياسة المنح وتقديم والخدمات للجهات المستفيدةفي موقعها الإلكتروني ؟</t>
  </si>
  <si>
    <t>نعم - يتم الانتقال إلى السؤال التالي</t>
  </si>
  <si>
    <t>نعم - تشمل بشكل متكامل</t>
  </si>
  <si>
    <t>نعم - تم تحديدها بشكل متكامل</t>
  </si>
  <si>
    <t>نعم - يتكون المجلس من ثلاثة أعضاء أو أكثر .</t>
  </si>
  <si>
    <t>نعم - تتحقق بشكل متكامل</t>
  </si>
  <si>
    <t>نعم - تم تحديد رئيساً للمجلس</t>
  </si>
  <si>
    <t>نعم - تم عقد برامج تعريفية للمجلس</t>
  </si>
  <si>
    <t>نعم - توجد</t>
  </si>
  <si>
    <t>نعم - يتم ذلك بشكل متكامل</t>
  </si>
  <si>
    <t>نعم - يوجد</t>
  </si>
  <si>
    <t>نعم - تم ذلك</t>
  </si>
  <si>
    <t>نعم - متحققة بشكل متكامل</t>
  </si>
  <si>
    <t>لا  - لا توجد أنشطة خارج أهداف المؤسسة</t>
  </si>
  <si>
    <t>نعم - تم التحديد</t>
  </si>
  <si>
    <t>نعم - جميع الموارد المالية ضمن الموارد المحدّدة.</t>
  </si>
  <si>
    <t>نعم - تم الالتزام بشكل متكامل</t>
  </si>
  <si>
    <t>نعم - يتم الحفظ بشكل متكامل</t>
  </si>
  <si>
    <t>نعم - تم  النشر .</t>
  </si>
  <si>
    <t>نعم - تم الإفصاح بشكل متكامل.</t>
  </si>
  <si>
    <t xml:space="preserve">نعم - تم النشر بشكل متكامل </t>
  </si>
  <si>
    <t>مؤسسة ……….</t>
  </si>
  <si>
    <t>نعم - توجد موافقة</t>
  </si>
  <si>
    <t>نعم - تم إبلاغ الوزارة</t>
  </si>
  <si>
    <t>نعم - توجد متابعة بشكل متكامل</t>
  </si>
  <si>
    <t>نعم - توجد بشكل متكامل</t>
  </si>
  <si>
    <t>نعم - تم الإعداد</t>
  </si>
  <si>
    <t>نعم - التزمت</t>
  </si>
  <si>
    <t>نعم - يوجد حساب مستقل + سجل لمصارف الزكاة .</t>
  </si>
  <si>
    <t>نعم - توجد قرارات بشكل متكامل.</t>
  </si>
  <si>
    <t>نعم - اشتملت على ذلك .</t>
  </si>
  <si>
    <t>نعم - تم الإفصاح .</t>
  </si>
  <si>
    <t>نعم - يتم التفاعل</t>
  </si>
  <si>
    <t>نعم - تم توفره بشكل متكامل.</t>
  </si>
  <si>
    <t>نعم - تم الاعتماد.</t>
  </si>
  <si>
    <t>نعم - تتطابق بشكل متكامل.</t>
  </si>
  <si>
    <t>نعم - يتم تجديثة دورياً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</si>
</sst>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[$-2140000]0"/>
    <numFmt numFmtId="165" formatCode="[$-2140000]0%"/>
    <numFmt numFmtId="166" formatCode="[$-2140000]0.0"/>
    <numFmt numFmtId="167" formatCode="[$-2140000]0.0%"/>
    <numFmt numFmtId="168" formatCode="0.0"/>
    <numFmt numFmtId="169" formatCode="[$-2140000]#,##0_);[Red]\(\-#,##0\)"/>
    <numFmt numFmtId="170" formatCode="[$-2140000]#,##0_);[Red]\(\-\ #,##0\)"/>
    <numFmt numFmtId="171" formatCode="[$-2140000]#,##0.00_);[Red]\(\-\ #,##0.00\)"/>
  </numFmts>
  <fonts count="65" x14ac:knownFonts="1">
    <font>
      <sz val="11"/>
      <color theme="1"/>
      <name val="Calibri"/>
      <family val="2"/>
      <scheme val="minor"/>
    </font>
    <font>
      <sz val="12"/>
      <color rgb="FF17365D"/>
      <name val="Sakkal Majalla"/>
    </font>
    <font>
      <sz val="11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akkal Majalla"/>
    </font>
    <font>
      <sz val="20"/>
      <color theme="1"/>
      <name val="Calibri"/>
      <family val="2"/>
      <scheme val="minor"/>
    </font>
    <font>
      <sz val="20"/>
      <color theme="1"/>
      <name val="Sakkal Majalla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Sakkal Majalla"/>
    </font>
    <font>
      <b/>
      <sz val="20"/>
      <color theme="0"/>
      <name val="Calibri"/>
      <family val="2"/>
      <scheme val="minor"/>
    </font>
    <font>
      <b/>
      <sz val="14"/>
      <color rgb="FF17365D"/>
      <name val="Sakkal Majalla"/>
    </font>
    <font>
      <sz val="14"/>
      <color theme="1"/>
      <name val="Sakkal Majalla"/>
    </font>
    <font>
      <sz val="12"/>
      <color theme="1"/>
      <name val="Sakkal Majalla"/>
    </font>
    <font>
      <b/>
      <sz val="12"/>
      <color theme="1"/>
      <name val="Sakkal Majalla"/>
    </font>
    <font>
      <b/>
      <sz val="11"/>
      <color theme="1"/>
      <name val="Sakkal Majalla"/>
    </font>
    <font>
      <sz val="10"/>
      <color theme="1"/>
      <name val="Sakkal Majalla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Sakkal Majalla"/>
    </font>
    <font>
      <sz val="16"/>
      <color theme="1"/>
      <name val="Sakkal Majalla"/>
    </font>
    <font>
      <b/>
      <u/>
      <sz val="16"/>
      <color theme="1"/>
      <name val="Sakkal Majalla"/>
    </font>
    <font>
      <b/>
      <sz val="18"/>
      <color theme="1"/>
      <name val="Sakkal Majalla"/>
    </font>
    <font>
      <b/>
      <sz val="22"/>
      <color theme="1"/>
      <name val="Sakkal Majalla"/>
    </font>
    <font>
      <b/>
      <sz val="28"/>
      <color theme="1"/>
      <name val="Sakkal Majalla"/>
    </font>
    <font>
      <b/>
      <sz val="12"/>
      <name val="Sakkal Majalla"/>
    </font>
    <font>
      <b/>
      <sz val="14"/>
      <name val="Arial"/>
      <family val="2"/>
      <charset val="178"/>
    </font>
    <font>
      <b/>
      <sz val="20"/>
      <color rgb="FF17365D"/>
      <name val="Sakkal Majalla"/>
    </font>
    <font>
      <b/>
      <sz val="20"/>
      <color theme="4" tint="-0.499984740745262"/>
      <name val="Calibri"/>
      <family val="2"/>
      <scheme val="minor"/>
    </font>
    <font>
      <b/>
      <sz val="20"/>
      <color rgb="FF17365D"/>
      <name val="Calibri"/>
      <family val="2"/>
      <scheme val="minor"/>
    </font>
    <font>
      <b/>
      <sz val="72"/>
      <color theme="1"/>
      <name val="Sakkal Majalla"/>
    </font>
    <font>
      <b/>
      <sz val="70"/>
      <color theme="1"/>
      <name val="Sakkal Majalla"/>
    </font>
    <font>
      <b/>
      <sz val="20"/>
      <color theme="1"/>
      <name val="Sakkal Majalla"/>
    </font>
    <font>
      <b/>
      <sz val="14"/>
      <color theme="0"/>
      <name val="Sakkal Majalla"/>
    </font>
    <font>
      <sz val="26"/>
      <color theme="1"/>
      <name val="Sakkal Majalla"/>
    </font>
    <font>
      <b/>
      <sz val="24"/>
      <color theme="1"/>
      <name val="Sakkal Majalla"/>
    </font>
    <font>
      <sz val="36"/>
      <color theme="1"/>
      <name val="Sakkal Majalla"/>
    </font>
    <font>
      <sz val="10"/>
      <name val="Arial"/>
      <family val="2"/>
    </font>
    <font>
      <b/>
      <sz val="10"/>
      <name val="Arial"/>
      <family val="2"/>
    </font>
    <font>
      <sz val="8"/>
      <color theme="0"/>
      <name val="Calibri"/>
      <family val="2"/>
      <scheme val="minor"/>
    </font>
    <font>
      <b/>
      <sz val="36"/>
      <color theme="0"/>
      <name val="Sakkal Majalla"/>
    </font>
    <font>
      <sz val="1"/>
      <color theme="0"/>
      <name val="Sakkal Majalla"/>
    </font>
    <font>
      <sz val="18"/>
      <color theme="1"/>
      <name val="Sakkal Majalla"/>
    </font>
    <font>
      <sz val="16"/>
      <color theme="1"/>
      <name val="Calibri"/>
      <family val="2"/>
      <scheme val="minor"/>
    </font>
    <font>
      <sz val="20"/>
      <color rgb="FF17365D"/>
      <name val="Sakkal Majalla"/>
    </font>
    <font>
      <sz val="18"/>
      <color theme="1"/>
      <name val="Calibri"/>
      <family val="2"/>
      <scheme val="minor"/>
    </font>
    <font>
      <b/>
      <sz val="36"/>
      <color theme="1"/>
      <name val="Sakkal Majalla"/>
    </font>
    <font>
      <b/>
      <sz val="26"/>
      <color theme="1"/>
      <name val="Sakkal Majalla"/>
    </font>
    <font>
      <sz val="10"/>
      <color theme="0"/>
      <name val="Sakkal Majalla"/>
    </font>
    <font>
      <b/>
      <sz val="10"/>
      <color theme="0"/>
      <name val="Sakkal Majalla"/>
    </font>
    <font>
      <sz val="24"/>
      <color theme="1"/>
      <name val="Sakkal Majalla"/>
    </font>
    <font>
      <b/>
      <sz val="24"/>
      <name val="Sakkal Majalla"/>
    </font>
    <font>
      <b/>
      <sz val="24"/>
      <color rgb="FF17365D"/>
      <name val="Sakkal Majalla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6"/>
      <color theme="0"/>
      <name val="Sakkal Majalla"/>
    </font>
    <font>
      <b/>
      <sz val="12"/>
      <color theme="0"/>
      <name val="Sakkal Majalla"/>
    </font>
    <font>
      <sz val="28"/>
      <color theme="1"/>
      <name val="Sakkal Majalla"/>
    </font>
    <font>
      <b/>
      <sz val="13"/>
      <color theme="1"/>
      <name val="Sakkal Majalla"/>
    </font>
    <font>
      <sz val="12"/>
      <name val="Sakkal Majalla"/>
    </font>
    <font>
      <b/>
      <sz val="20"/>
      <name val="Sakkal Majalla"/>
    </font>
    <font>
      <sz val="20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B8CCE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EECE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1" fillId="0" borderId="0"/>
  </cellStyleXfs>
  <cellXfs count="1061">
    <xf numFmtId="0" fontId="0" fillId="0" borderId="0" xfId="0"/>
    <xf numFmtId="0" fontId="0" fillId="6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right"/>
    </xf>
    <xf numFmtId="0" fontId="10" fillId="6" borderId="0" xfId="0" applyFont="1" applyFill="1"/>
    <xf numFmtId="0" fontId="8" fillId="6" borderId="0" xfId="0" applyFont="1" applyFill="1"/>
    <xf numFmtId="0" fontId="4" fillId="6" borderId="0" xfId="0" applyFont="1" applyFill="1"/>
    <xf numFmtId="0" fontId="1" fillId="8" borderId="13" xfId="0" applyFont="1" applyFill="1" applyBorder="1" applyAlignment="1">
      <alignment horizontal="center" vertical="center" wrapText="1" readingOrder="2"/>
    </xf>
    <xf numFmtId="0" fontId="1" fillId="8" borderId="15" xfId="0" applyFont="1" applyFill="1" applyBorder="1" applyAlignment="1">
      <alignment horizontal="center" vertical="center" wrapText="1" readingOrder="2"/>
    </xf>
    <xf numFmtId="0" fontId="14" fillId="8" borderId="0" xfId="0" applyFont="1" applyFill="1" applyAlignment="1">
      <alignment horizontal="center" vertical="center" wrapText="1" readingOrder="2"/>
    </xf>
    <xf numFmtId="0" fontId="14" fillId="8" borderId="2" xfId="0" applyFont="1" applyFill="1" applyBorder="1" applyAlignment="1">
      <alignment horizontal="center" vertical="center" wrapText="1" readingOrder="2"/>
    </xf>
    <xf numFmtId="0" fontId="1" fillId="8" borderId="31" xfId="0" applyFont="1" applyFill="1" applyBorder="1" applyAlignment="1">
      <alignment horizontal="right" vertical="center" wrapText="1" readingOrder="2"/>
    </xf>
    <xf numFmtId="0" fontId="1" fillId="8" borderId="3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right" vertical="center" wrapText="1" readingOrder="2"/>
    </xf>
    <xf numFmtId="0" fontId="1" fillId="0" borderId="13" xfId="0" applyFont="1" applyBorder="1" applyAlignment="1">
      <alignment horizontal="center" vertical="center" wrapText="1" readingOrder="2"/>
    </xf>
    <xf numFmtId="0" fontId="1" fillId="0" borderId="13" xfId="0" applyFont="1" applyBorder="1" applyAlignment="1">
      <alignment horizontal="right" vertical="center" wrapText="1" readingOrder="2"/>
    </xf>
    <xf numFmtId="0" fontId="1" fillId="8" borderId="0" xfId="0" applyFont="1" applyFill="1" applyAlignment="1">
      <alignment horizontal="center" vertical="center" wrapText="1" readingOrder="2"/>
    </xf>
    <xf numFmtId="0" fontId="1" fillId="8" borderId="0" xfId="0" applyFont="1" applyFill="1" applyAlignment="1">
      <alignment horizontal="right" vertical="center" wrapText="1" readingOrder="2"/>
    </xf>
    <xf numFmtId="0" fontId="1" fillId="2" borderId="18" xfId="0" applyFont="1" applyFill="1" applyBorder="1" applyAlignment="1">
      <alignment horizontal="center" vertical="center" wrapText="1" readingOrder="2"/>
    </xf>
    <xf numFmtId="0" fontId="1" fillId="2" borderId="18" xfId="0" applyFont="1" applyFill="1" applyBorder="1" applyAlignment="1">
      <alignment horizontal="right" vertical="center" wrapText="1" readingOrder="2"/>
    </xf>
    <xf numFmtId="0" fontId="1" fillId="4" borderId="13" xfId="0" applyFont="1" applyFill="1" applyBorder="1" applyAlignment="1">
      <alignment horizontal="center" vertical="center" wrapText="1" readingOrder="2"/>
    </xf>
    <xf numFmtId="0" fontId="1" fillId="4" borderId="13" xfId="0" applyFont="1" applyFill="1" applyBorder="1" applyAlignment="1">
      <alignment horizontal="right" vertical="center" wrapText="1" readingOrder="2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3" xfId="0" applyFont="1" applyFill="1" applyBorder="1" applyAlignment="1">
      <alignment horizontal="right" vertical="center" wrapText="1" readingOrder="2"/>
    </xf>
    <xf numFmtId="0" fontId="1" fillId="0" borderId="22" xfId="0" applyFont="1" applyBorder="1" applyAlignment="1">
      <alignment vertical="center" wrapText="1" readingOrder="2"/>
    </xf>
    <xf numFmtId="0" fontId="1" fillId="0" borderId="18" xfId="0" applyFont="1" applyBorder="1" applyAlignment="1">
      <alignment vertical="center" wrapText="1" readingOrder="2"/>
    </xf>
    <xf numFmtId="0" fontId="1" fillId="0" borderId="13" xfId="0" applyFont="1" applyBorder="1" applyAlignment="1">
      <alignment vertical="center" wrapText="1" readingOrder="2"/>
    </xf>
    <xf numFmtId="0" fontId="1" fillId="4" borderId="18" xfId="0" applyFont="1" applyFill="1" applyBorder="1" applyAlignment="1">
      <alignment horizontal="center" vertical="center" wrapText="1" readingOrder="2"/>
    </xf>
    <xf numFmtId="0" fontId="1" fillId="4" borderId="18" xfId="0" applyFont="1" applyFill="1" applyBorder="1" applyAlignment="1">
      <alignment horizontal="right" vertical="center" wrapText="1" readingOrder="2"/>
    </xf>
    <xf numFmtId="0" fontId="1" fillId="8" borderId="13" xfId="0" applyFont="1" applyFill="1" applyBorder="1" applyAlignment="1">
      <alignment horizontal="right" vertical="center" wrapText="1" readingOrder="2"/>
    </xf>
    <xf numFmtId="9" fontId="10" fillId="6" borderId="0" xfId="0" applyNumberFormat="1" applyFont="1" applyFill="1"/>
    <xf numFmtId="9" fontId="0" fillId="6" borderId="0" xfId="0" applyNumberFormat="1" applyFill="1" applyAlignment="1">
      <alignment horizontal="right"/>
    </xf>
    <xf numFmtId="0" fontId="23" fillId="8" borderId="31" xfId="0" applyFont="1" applyFill="1" applyBorder="1" applyAlignment="1">
      <alignment horizontal="center" vertical="center" wrapText="1" readingOrder="2"/>
    </xf>
    <xf numFmtId="0" fontId="23" fillId="8" borderId="0" xfId="0" applyFont="1" applyFill="1" applyAlignment="1">
      <alignment horizontal="center" vertical="center" wrapText="1" readingOrder="2"/>
    </xf>
    <xf numFmtId="0" fontId="23" fillId="8" borderId="0" xfId="0" applyFont="1" applyFill="1" applyAlignment="1">
      <alignment horizontal="center" vertical="center" readingOrder="2"/>
    </xf>
    <xf numFmtId="0" fontId="23" fillId="8" borderId="31" xfId="0" applyFont="1" applyFill="1" applyBorder="1" applyAlignment="1">
      <alignment horizontal="center" vertical="center" readingOrder="2"/>
    </xf>
    <xf numFmtId="0" fontId="22" fillId="8" borderId="11" xfId="0" applyFont="1" applyFill="1" applyBorder="1" applyAlignment="1">
      <alignment horizontal="center" vertical="center" wrapText="1" readingOrder="2"/>
    </xf>
    <xf numFmtId="0" fontId="23" fillId="9" borderId="13" xfId="0" applyFont="1" applyFill="1" applyBorder="1" applyAlignment="1">
      <alignment vertical="center" readingOrder="2"/>
    </xf>
    <xf numFmtId="0" fontId="23" fillId="5" borderId="12" xfId="0" applyFont="1" applyFill="1" applyBorder="1" applyAlignment="1">
      <alignment horizontal="center" vertical="center" wrapText="1" readingOrder="2"/>
    </xf>
    <xf numFmtId="0" fontId="23" fillId="9" borderId="13" xfId="0" applyFont="1" applyFill="1" applyBorder="1" applyAlignment="1">
      <alignment horizontal="center" vertical="center" wrapText="1" readingOrder="2"/>
    </xf>
    <xf numFmtId="0" fontId="23" fillId="5" borderId="13" xfId="0" applyFont="1" applyFill="1" applyBorder="1" applyAlignment="1">
      <alignment horizontal="center" vertical="center" wrapText="1" readingOrder="2"/>
    </xf>
    <xf numFmtId="0" fontId="23" fillId="5" borderId="22" xfId="0" applyFont="1" applyFill="1" applyBorder="1" applyAlignment="1">
      <alignment horizontal="center" vertical="center" wrapText="1" readingOrder="2"/>
    </xf>
    <xf numFmtId="0" fontId="22" fillId="12" borderId="13" xfId="0" applyFont="1" applyFill="1" applyBorder="1" applyAlignment="1">
      <alignment horizontal="center" vertical="center" wrapText="1" readingOrder="2"/>
    </xf>
    <xf numFmtId="0" fontId="23" fillId="5" borderId="18" xfId="0" applyFont="1" applyFill="1" applyBorder="1" applyAlignment="1">
      <alignment horizontal="center" vertical="center" wrapText="1" readingOrder="2"/>
    </xf>
    <xf numFmtId="0" fontId="23" fillId="9" borderId="13" xfId="0" applyFont="1" applyFill="1" applyBorder="1" applyAlignment="1">
      <alignment horizontal="center" vertical="center" readingOrder="2"/>
    </xf>
    <xf numFmtId="0" fontId="23" fillId="9" borderId="22" xfId="0" applyFont="1" applyFill="1" applyBorder="1" applyAlignment="1">
      <alignment horizontal="center" vertical="center" readingOrder="2"/>
    </xf>
    <xf numFmtId="0" fontId="23" fillId="9" borderId="14" xfId="0" applyFont="1" applyFill="1" applyBorder="1" applyAlignment="1">
      <alignment horizontal="center" vertical="center" readingOrder="2"/>
    </xf>
    <xf numFmtId="0" fontId="23" fillId="9" borderId="18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vertical="center" wrapText="1" readingOrder="2"/>
    </xf>
    <xf numFmtId="0" fontId="1" fillId="0" borderId="22" xfId="0" applyFont="1" applyBorder="1" applyAlignment="1">
      <alignment horizontal="right" vertical="center" wrapText="1" readingOrder="2"/>
    </xf>
    <xf numFmtId="0" fontId="1" fillId="0" borderId="22" xfId="0" applyFont="1" applyBorder="1" applyAlignment="1">
      <alignment horizontal="center" vertical="center" wrapText="1" readingOrder="2"/>
    </xf>
    <xf numFmtId="0" fontId="1" fillId="0" borderId="18" xfId="0" applyFont="1" applyBorder="1" applyAlignment="1">
      <alignment horizontal="center" vertical="center" wrapText="1" readingOrder="2"/>
    </xf>
    <xf numFmtId="0" fontId="1" fillId="0" borderId="14" xfId="0" applyFont="1" applyBorder="1" applyAlignment="1">
      <alignment horizontal="right" vertical="center" wrapText="1" readingOrder="2"/>
    </xf>
    <xf numFmtId="0" fontId="1" fillId="0" borderId="14" xfId="0" applyFont="1" applyBorder="1" applyAlignment="1">
      <alignment horizontal="center" vertical="center" wrapText="1" readingOrder="2"/>
    </xf>
    <xf numFmtId="0" fontId="28" fillId="3" borderId="8" xfId="0" applyFont="1" applyFill="1" applyBorder="1" applyAlignment="1">
      <alignment horizontal="center" vertical="center" wrapText="1" readingOrder="2"/>
    </xf>
    <xf numFmtId="0" fontId="28" fillId="3" borderId="9" xfId="0" applyFont="1" applyFill="1" applyBorder="1" applyAlignment="1">
      <alignment horizontal="center" vertical="center" wrapText="1" readingOrder="2"/>
    </xf>
    <xf numFmtId="164" fontId="28" fillId="3" borderId="9" xfId="0" applyNumberFormat="1" applyFont="1" applyFill="1" applyBorder="1" applyAlignment="1">
      <alignment horizontal="center" vertical="center" wrapText="1" readingOrder="2"/>
    </xf>
    <xf numFmtId="164" fontId="28" fillId="3" borderId="10" xfId="0" applyNumberFormat="1" applyFont="1" applyFill="1" applyBorder="1" applyAlignment="1">
      <alignment horizontal="center" vertical="center" wrapText="1" readingOrder="2"/>
    </xf>
    <xf numFmtId="164" fontId="1" fillId="8" borderId="0" xfId="0" applyNumberFormat="1" applyFont="1" applyFill="1" applyAlignment="1">
      <alignment horizontal="right" vertical="center" wrapText="1" readingOrder="2"/>
    </xf>
    <xf numFmtId="164" fontId="14" fillId="8" borderId="0" xfId="0" applyNumberFormat="1" applyFont="1" applyFill="1" applyAlignment="1">
      <alignment horizontal="center" vertical="center" wrapText="1" readingOrder="2"/>
    </xf>
    <xf numFmtId="164" fontId="14" fillId="8" borderId="0" xfId="0" applyNumberFormat="1" applyFont="1" applyFill="1" applyAlignment="1">
      <alignment horizontal="right" vertical="center" wrapText="1" readingOrder="2"/>
    </xf>
    <xf numFmtId="164" fontId="30" fillId="8" borderId="0" xfId="0" applyNumberFormat="1" applyFont="1" applyFill="1" applyAlignment="1">
      <alignment horizontal="right" vertical="center" wrapText="1" readingOrder="2"/>
    </xf>
    <xf numFmtId="164" fontId="30" fillId="8" borderId="0" xfId="0" applyNumberFormat="1" applyFont="1" applyFill="1" applyAlignment="1">
      <alignment horizontal="center" vertical="center" wrapText="1" readingOrder="2"/>
    </xf>
    <xf numFmtId="164" fontId="32" fillId="8" borderId="0" xfId="0" applyNumberFormat="1" applyFont="1" applyFill="1" applyAlignment="1">
      <alignment horizontal="right" vertical="center" wrapText="1" readingOrder="2"/>
    </xf>
    <xf numFmtId="164" fontId="32" fillId="8" borderId="0" xfId="0" applyNumberFormat="1" applyFont="1" applyFill="1" applyAlignment="1">
      <alignment horizontal="center" vertical="center" wrapText="1" readingOrder="2"/>
    </xf>
    <xf numFmtId="164" fontId="1" fillId="8" borderId="15" xfId="0" applyNumberFormat="1" applyFont="1" applyFill="1" applyBorder="1" applyAlignment="1">
      <alignment horizontal="center" vertical="center" wrapText="1" readingOrder="2"/>
    </xf>
    <xf numFmtId="164" fontId="1" fillId="8" borderId="31" xfId="0" applyNumberFormat="1" applyFont="1" applyFill="1" applyBorder="1" applyAlignment="1">
      <alignment horizontal="right" vertical="center" wrapText="1" readingOrder="2"/>
    </xf>
    <xf numFmtId="164" fontId="1" fillId="8" borderId="31" xfId="0" applyNumberFormat="1" applyFont="1" applyFill="1" applyBorder="1" applyAlignment="1">
      <alignment horizontal="center" vertical="center" wrapText="1" readingOrder="2"/>
    </xf>
    <xf numFmtId="164" fontId="1" fillId="8" borderId="0" xfId="0" applyNumberFormat="1" applyFont="1" applyFill="1" applyAlignment="1">
      <alignment horizontal="center" vertical="center" wrapText="1" readingOrder="2"/>
    </xf>
    <xf numFmtId="164" fontId="1" fillId="8" borderId="16" xfId="0" applyNumberFormat="1" applyFont="1" applyFill="1" applyBorder="1" applyAlignment="1">
      <alignment horizontal="right" vertical="center" wrapText="1" readingOrder="2"/>
    </xf>
    <xf numFmtId="164" fontId="14" fillId="8" borderId="46" xfId="0" applyNumberFormat="1" applyFont="1" applyFill="1" applyBorder="1" applyAlignment="1">
      <alignment horizontal="center" vertical="center" wrapText="1" readingOrder="2"/>
    </xf>
    <xf numFmtId="164" fontId="14" fillId="8" borderId="15" xfId="0" applyNumberFormat="1" applyFont="1" applyFill="1" applyBorder="1" applyAlignment="1">
      <alignment horizontal="center" vertical="center" wrapText="1" readingOrder="2"/>
    </xf>
    <xf numFmtId="164" fontId="1" fillId="8" borderId="13" xfId="0" applyNumberFormat="1" applyFont="1" applyFill="1" applyBorder="1" applyAlignment="1">
      <alignment horizontal="center" vertical="center" wrapText="1" readingOrder="2"/>
    </xf>
    <xf numFmtId="164" fontId="1" fillId="8" borderId="13" xfId="0" applyNumberFormat="1" applyFont="1" applyFill="1" applyBorder="1" applyAlignment="1">
      <alignment horizontal="right" vertical="center" wrapText="1" readingOrder="2"/>
    </xf>
    <xf numFmtId="165" fontId="14" fillId="8" borderId="0" xfId="0" applyNumberFormat="1" applyFont="1" applyFill="1" applyAlignment="1">
      <alignment horizontal="center" vertical="center" wrapText="1" readingOrder="2"/>
    </xf>
    <xf numFmtId="165" fontId="14" fillId="8" borderId="15" xfId="0" applyNumberFormat="1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readingOrder="2"/>
    </xf>
    <xf numFmtId="0" fontId="7" fillId="8" borderId="9" xfId="0" applyFont="1" applyFill="1" applyBorder="1" applyAlignment="1">
      <alignment horizontal="center" vertical="center" wrapText="1" readingOrder="2"/>
    </xf>
    <xf numFmtId="0" fontId="17" fillId="8" borderId="9" xfId="0" applyFont="1" applyFill="1" applyBorder="1" applyAlignment="1">
      <alignment horizontal="center" vertical="center" wrapText="1" readingOrder="2"/>
    </xf>
    <xf numFmtId="165" fontId="17" fillId="8" borderId="9" xfId="0" applyNumberFormat="1" applyFont="1" applyFill="1" applyBorder="1" applyAlignment="1">
      <alignment horizontal="center" vertical="center" wrapText="1" readingOrder="2"/>
    </xf>
    <xf numFmtId="164" fontId="7" fillId="8" borderId="9" xfId="0" applyNumberFormat="1" applyFont="1" applyFill="1" applyBorder="1" applyAlignment="1">
      <alignment horizontal="center" vertical="center" wrapText="1" readingOrder="2"/>
    </xf>
    <xf numFmtId="164" fontId="17" fillId="8" borderId="9" xfId="0" applyNumberFormat="1" applyFont="1" applyFill="1" applyBorder="1" applyAlignment="1">
      <alignment horizontal="center" vertical="center" wrapText="1" readingOrder="2"/>
    </xf>
    <xf numFmtId="165" fontId="7" fillId="8" borderId="9" xfId="0" applyNumberFormat="1" applyFont="1" applyFill="1" applyBorder="1" applyAlignment="1">
      <alignment horizontal="center" vertical="center" wrapText="1" readingOrder="2"/>
    </xf>
    <xf numFmtId="164" fontId="7" fillId="13" borderId="9" xfId="0" applyNumberFormat="1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165" fontId="23" fillId="5" borderId="47" xfId="0" applyNumberFormat="1" applyFont="1" applyFill="1" applyBorder="1" applyAlignment="1">
      <alignment horizontal="center" vertical="center" wrapText="1" readingOrder="2"/>
    </xf>
    <xf numFmtId="0" fontId="7" fillId="0" borderId="0" xfId="1" applyNumberFormat="1" applyFont="1" applyFill="1" applyBorder="1" applyAlignment="1">
      <alignment horizontal="center" vertical="center" wrapText="1" readingOrder="2"/>
    </xf>
    <xf numFmtId="164" fontId="15" fillId="0" borderId="0" xfId="0" applyNumberFormat="1" applyFont="1" applyAlignment="1">
      <alignment readingOrder="2"/>
    </xf>
    <xf numFmtId="164" fontId="23" fillId="8" borderId="31" xfId="0" applyNumberFormat="1" applyFont="1" applyFill="1" applyBorder="1" applyAlignment="1">
      <alignment horizontal="center" vertical="center" readingOrder="2"/>
    </xf>
    <xf numFmtId="165" fontId="23" fillId="8" borderId="31" xfId="0" applyNumberFormat="1" applyFont="1" applyFill="1" applyBorder="1" applyAlignment="1">
      <alignment horizontal="center" vertical="center" readingOrder="2"/>
    </xf>
    <xf numFmtId="165" fontId="23" fillId="5" borderId="15" xfId="0" applyNumberFormat="1" applyFont="1" applyFill="1" applyBorder="1" applyAlignment="1">
      <alignment horizontal="center" vertical="center" wrapText="1" readingOrder="2"/>
    </xf>
    <xf numFmtId="165" fontId="23" fillId="5" borderId="15" xfId="1" applyNumberFormat="1" applyFont="1" applyFill="1" applyBorder="1" applyAlignment="1">
      <alignment horizontal="center" vertical="center" wrapText="1" readingOrder="2"/>
    </xf>
    <xf numFmtId="164" fontId="22" fillId="8" borderId="31" xfId="0" applyNumberFormat="1" applyFont="1" applyFill="1" applyBorder="1" applyAlignment="1">
      <alignment horizontal="center" vertical="center" readingOrder="2"/>
    </xf>
    <xf numFmtId="164" fontId="22" fillId="8" borderId="31" xfId="0" applyNumberFormat="1" applyFont="1" applyFill="1" applyBorder="1" applyAlignment="1">
      <alignment horizontal="center" vertical="center" wrapText="1" readingOrder="2"/>
    </xf>
    <xf numFmtId="0" fontId="22" fillId="8" borderId="31" xfId="0" applyFont="1" applyFill="1" applyBorder="1" applyAlignment="1">
      <alignment horizontal="center" vertical="center" readingOrder="2"/>
    </xf>
    <xf numFmtId="165" fontId="23" fillId="8" borderId="31" xfId="0" applyNumberFormat="1" applyFont="1" applyFill="1" applyBorder="1" applyAlignment="1">
      <alignment horizontal="center" vertical="center" wrapText="1" readingOrder="2"/>
    </xf>
    <xf numFmtId="165" fontId="23" fillId="9" borderId="15" xfId="0" applyNumberFormat="1" applyFont="1" applyFill="1" applyBorder="1" applyAlignment="1">
      <alignment horizontal="center" vertical="center" wrapText="1" readingOrder="2"/>
    </xf>
    <xf numFmtId="165" fontId="23" fillId="9" borderId="15" xfId="1" applyNumberFormat="1" applyFont="1" applyFill="1" applyBorder="1" applyAlignment="1">
      <alignment horizontal="center" vertical="center" wrapText="1" readingOrder="2"/>
    </xf>
    <xf numFmtId="165" fontId="23" fillId="9" borderId="13" xfId="0" applyNumberFormat="1" applyFont="1" applyFill="1" applyBorder="1" applyAlignment="1">
      <alignment horizontal="center" vertical="center" wrapText="1" readingOrder="2"/>
    </xf>
    <xf numFmtId="165" fontId="23" fillId="9" borderId="13" xfId="1" applyNumberFormat="1" applyFont="1" applyFill="1" applyBorder="1" applyAlignment="1">
      <alignment horizontal="center" vertical="center" wrapText="1" readingOrder="2"/>
    </xf>
    <xf numFmtId="0" fontId="23" fillId="11" borderId="13" xfId="0" applyFont="1" applyFill="1" applyBorder="1" applyAlignment="1">
      <alignment horizontal="center" vertical="center" wrapText="1" readingOrder="2"/>
    </xf>
    <xf numFmtId="165" fontId="23" fillId="11" borderId="15" xfId="1" applyNumberFormat="1" applyFont="1" applyFill="1" applyBorder="1" applyAlignment="1">
      <alignment horizontal="center" vertical="center" wrapText="1" readingOrder="2"/>
    </xf>
    <xf numFmtId="165" fontId="23" fillId="5" borderId="45" xfId="1" applyNumberFormat="1" applyFont="1" applyFill="1" applyBorder="1" applyAlignment="1">
      <alignment horizontal="center" vertical="center" wrapText="1" readingOrder="2"/>
    </xf>
    <xf numFmtId="0" fontId="19" fillId="8" borderId="0" xfId="0" applyFont="1" applyFill="1" applyAlignment="1">
      <alignment horizontal="center" vertical="center" readingOrder="2"/>
    </xf>
    <xf numFmtId="165" fontId="22" fillId="8" borderId="0" xfId="0" applyNumberFormat="1" applyFont="1" applyFill="1" applyAlignment="1">
      <alignment horizontal="center" vertical="center" wrapText="1" readingOrder="2"/>
    </xf>
    <xf numFmtId="164" fontId="22" fillId="8" borderId="0" xfId="0" applyNumberFormat="1" applyFont="1" applyFill="1" applyAlignment="1">
      <alignment horizontal="center" vertical="center" readingOrder="2"/>
    </xf>
    <xf numFmtId="164" fontId="22" fillId="8" borderId="0" xfId="0" applyNumberFormat="1" applyFont="1" applyFill="1" applyAlignment="1">
      <alignment horizontal="center" vertical="center" wrapText="1" readingOrder="2"/>
    </xf>
    <xf numFmtId="0" fontId="22" fillId="8" borderId="0" xfId="0" applyFont="1" applyFill="1" applyAlignment="1">
      <alignment horizontal="center" vertical="center" readingOrder="2"/>
    </xf>
    <xf numFmtId="164" fontId="23" fillId="8" borderId="0" xfId="0" applyNumberFormat="1" applyFont="1" applyFill="1" applyAlignment="1">
      <alignment horizontal="center" vertical="center" readingOrder="2"/>
    </xf>
    <xf numFmtId="165" fontId="23" fillId="8" borderId="0" xfId="0" applyNumberFormat="1" applyFont="1" applyFill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23" fillId="9" borderId="18" xfId="0" applyFont="1" applyFill="1" applyBorder="1" applyAlignment="1">
      <alignment horizontal="center" vertical="center" readingOrder="2"/>
    </xf>
    <xf numFmtId="165" fontId="23" fillId="9" borderId="18" xfId="1" applyNumberFormat="1" applyFont="1" applyFill="1" applyBorder="1" applyAlignment="1">
      <alignment horizontal="center" vertical="center" wrapText="1" readingOrder="2"/>
    </xf>
    <xf numFmtId="0" fontId="23" fillId="11" borderId="13" xfId="0" applyFont="1" applyFill="1" applyBorder="1" applyAlignment="1">
      <alignment horizontal="center" vertical="center" readingOrder="2"/>
    </xf>
    <xf numFmtId="0" fontId="23" fillId="9" borderId="13" xfId="0" applyFont="1" applyFill="1" applyBorder="1" applyAlignment="1">
      <alignment horizontal="center" readingOrder="2"/>
    </xf>
    <xf numFmtId="165" fontId="23" fillId="11" borderId="13" xfId="0" applyNumberFormat="1" applyFont="1" applyFill="1" applyBorder="1" applyAlignment="1">
      <alignment horizontal="center" vertical="center" readingOrder="2"/>
    </xf>
    <xf numFmtId="0" fontId="23" fillId="5" borderId="13" xfId="0" applyFont="1" applyFill="1" applyBorder="1" applyAlignment="1">
      <alignment horizontal="center" vertical="center" readingOrder="2"/>
    </xf>
    <xf numFmtId="165" fontId="23" fillId="5" borderId="13" xfId="1" applyNumberFormat="1" applyFont="1" applyFill="1" applyBorder="1" applyAlignment="1">
      <alignment horizontal="center" vertical="center" readingOrder="2"/>
    </xf>
    <xf numFmtId="165" fontId="23" fillId="9" borderId="13" xfId="0" applyNumberFormat="1" applyFont="1" applyFill="1" applyBorder="1" applyAlignment="1">
      <alignment horizontal="center" readingOrder="2"/>
    </xf>
    <xf numFmtId="165" fontId="23" fillId="9" borderId="13" xfId="1" applyNumberFormat="1" applyFont="1" applyFill="1" applyBorder="1" applyAlignment="1">
      <alignment horizontal="center" readingOrder="2"/>
    </xf>
    <xf numFmtId="0" fontId="23" fillId="11" borderId="13" xfId="0" applyFont="1" applyFill="1" applyBorder="1" applyAlignment="1">
      <alignment horizontal="center" readingOrder="2"/>
    </xf>
    <xf numFmtId="165" fontId="23" fillId="11" borderId="15" xfId="0" applyNumberFormat="1" applyFont="1" applyFill="1" applyBorder="1" applyAlignment="1">
      <alignment horizontal="center" readingOrder="2"/>
    </xf>
    <xf numFmtId="165" fontId="23" fillId="9" borderId="15" xfId="0" applyNumberFormat="1" applyFont="1" applyFill="1" applyBorder="1" applyAlignment="1">
      <alignment horizontal="center" readingOrder="2"/>
    </xf>
    <xf numFmtId="165" fontId="23" fillId="9" borderId="15" xfId="1" applyNumberFormat="1" applyFont="1" applyFill="1" applyBorder="1" applyAlignment="1">
      <alignment horizontal="center" readingOrder="2"/>
    </xf>
    <xf numFmtId="0" fontId="23" fillId="5" borderId="13" xfId="0" applyFont="1" applyFill="1" applyBorder="1" applyAlignment="1">
      <alignment horizontal="center" readingOrder="2"/>
    </xf>
    <xf numFmtId="165" fontId="23" fillId="5" borderId="13" xfId="1" applyNumberFormat="1" applyFont="1" applyFill="1" applyBorder="1" applyAlignment="1">
      <alignment horizontal="center" readingOrder="2"/>
    </xf>
    <xf numFmtId="0" fontId="0" fillId="0" borderId="0" xfId="0" applyAlignment="1">
      <alignment readingOrder="2"/>
    </xf>
    <xf numFmtId="165" fontId="23" fillId="11" borderId="15" xfId="1" applyNumberFormat="1" applyFont="1" applyFill="1" applyBorder="1" applyAlignment="1">
      <alignment horizontal="center" readingOrder="2"/>
    </xf>
    <xf numFmtId="165" fontId="23" fillId="9" borderId="15" xfId="1" applyNumberFormat="1" applyFont="1" applyFill="1" applyBorder="1" applyAlignment="1">
      <alignment horizontal="center" vertical="center" readingOrder="2"/>
    </xf>
    <xf numFmtId="165" fontId="23" fillId="9" borderId="13" xfId="1" applyNumberFormat="1" applyFont="1" applyFill="1" applyBorder="1" applyAlignment="1">
      <alignment horizontal="center" vertical="center" readingOrder="2"/>
    </xf>
    <xf numFmtId="0" fontId="23" fillId="5" borderId="22" xfId="0" applyFont="1" applyFill="1" applyBorder="1" applyAlignment="1">
      <alignment horizontal="center" readingOrder="2"/>
    </xf>
    <xf numFmtId="165" fontId="23" fillId="5" borderId="22" xfId="1" applyNumberFormat="1" applyFont="1" applyFill="1" applyBorder="1" applyAlignment="1">
      <alignment horizontal="center" readingOrder="2"/>
    </xf>
    <xf numFmtId="0" fontId="23" fillId="11" borderId="18" xfId="0" applyFont="1" applyFill="1" applyBorder="1" applyAlignment="1">
      <alignment horizontal="center" vertical="center" readingOrder="2"/>
    </xf>
    <xf numFmtId="165" fontId="23" fillId="11" borderId="18" xfId="0" applyNumberFormat="1" applyFont="1" applyFill="1" applyBorder="1" applyAlignment="1">
      <alignment horizontal="center" vertical="center" readingOrder="2"/>
    </xf>
    <xf numFmtId="165" fontId="23" fillId="9" borderId="13" xfId="0" applyNumberFormat="1" applyFont="1" applyFill="1" applyBorder="1" applyAlignment="1">
      <alignment horizontal="center" vertical="center" readingOrder="2"/>
    </xf>
    <xf numFmtId="0" fontId="23" fillId="9" borderId="22" xfId="0" applyFont="1" applyFill="1" applyBorder="1" applyAlignment="1">
      <alignment horizontal="center" readingOrder="2"/>
    </xf>
    <xf numFmtId="165" fontId="23" fillId="9" borderId="22" xfId="1" applyNumberFormat="1" applyFont="1" applyFill="1" applyBorder="1" applyAlignment="1">
      <alignment horizontal="center" readingOrder="2"/>
    </xf>
    <xf numFmtId="165" fontId="23" fillId="11" borderId="38" xfId="1" applyNumberFormat="1" applyFont="1" applyFill="1" applyBorder="1" applyAlignment="1">
      <alignment horizontal="center" vertical="center" readingOrder="2"/>
    </xf>
    <xf numFmtId="165" fontId="23" fillId="5" borderId="15" xfId="1" applyNumberFormat="1" applyFont="1" applyFill="1" applyBorder="1" applyAlignment="1">
      <alignment horizontal="center" vertical="center" readingOrder="2"/>
    </xf>
    <xf numFmtId="0" fontId="22" fillId="8" borderId="13" xfId="0" applyFont="1" applyFill="1" applyBorder="1" applyAlignment="1">
      <alignment horizontal="center" vertical="center" wrapText="1" readingOrder="2"/>
    </xf>
    <xf numFmtId="165" fontId="23" fillId="11" borderId="15" xfId="1" applyNumberFormat="1" applyFont="1" applyFill="1" applyBorder="1" applyAlignment="1">
      <alignment horizontal="center" vertical="center" readingOrder="2"/>
    </xf>
    <xf numFmtId="165" fontId="23" fillId="9" borderId="45" xfId="1" applyNumberFormat="1" applyFont="1" applyFill="1" applyBorder="1" applyAlignment="1">
      <alignment horizontal="center" vertical="center" readingOrder="2"/>
    </xf>
    <xf numFmtId="165" fontId="23" fillId="8" borderId="0" xfId="0" applyNumberFormat="1" applyFont="1" applyFill="1" applyAlignment="1">
      <alignment horizontal="center" vertical="center" readingOrder="2"/>
    </xf>
    <xf numFmtId="164" fontId="23" fillId="8" borderId="0" xfId="0" applyNumberFormat="1" applyFont="1" applyFill="1" applyAlignment="1">
      <alignment horizontal="center" vertical="center" wrapText="1" readingOrder="2"/>
    </xf>
    <xf numFmtId="0" fontId="7" fillId="0" borderId="0" xfId="0" applyFont="1" applyAlignment="1">
      <alignment horizontal="center" vertical="center" readingOrder="2"/>
    </xf>
    <xf numFmtId="0" fontId="23" fillId="5" borderId="18" xfId="0" applyFont="1" applyFill="1" applyBorder="1" applyAlignment="1">
      <alignment horizontal="center" vertical="center" readingOrder="2"/>
    </xf>
    <xf numFmtId="165" fontId="23" fillId="5" borderId="38" xfId="1" applyNumberFormat="1" applyFont="1" applyFill="1" applyBorder="1" applyAlignment="1">
      <alignment horizontal="center" vertical="center" readingOrder="2"/>
    </xf>
    <xf numFmtId="164" fontId="23" fillId="8" borderId="15" xfId="0" applyNumberFormat="1" applyFont="1" applyFill="1" applyBorder="1" applyAlignment="1">
      <alignment horizontal="center" vertical="center" readingOrder="2"/>
    </xf>
    <xf numFmtId="0" fontId="23" fillId="8" borderId="16" xfId="0" applyFont="1" applyFill="1" applyBorder="1" applyAlignment="1">
      <alignment horizontal="center" vertical="center" wrapText="1" readingOrder="2"/>
    </xf>
    <xf numFmtId="0" fontId="23" fillId="8" borderId="15" xfId="0" applyFont="1" applyFill="1" applyBorder="1" applyAlignment="1">
      <alignment horizontal="center" vertical="center" wrapText="1" readingOrder="2"/>
    </xf>
    <xf numFmtId="0" fontId="22" fillId="8" borderId="12" xfId="0" applyFont="1" applyFill="1" applyBorder="1" applyAlignment="1">
      <alignment horizontal="center" vertical="center" wrapText="1" readingOrder="2"/>
    </xf>
    <xf numFmtId="164" fontId="23" fillId="8" borderId="31" xfId="0" applyNumberFormat="1" applyFont="1" applyFill="1" applyBorder="1" applyAlignment="1">
      <alignment horizontal="center" vertical="center" wrapText="1" readingOrder="2"/>
    </xf>
    <xf numFmtId="165" fontId="23" fillId="8" borderId="31" xfId="1" applyNumberFormat="1" applyFont="1" applyFill="1" applyBorder="1" applyAlignment="1">
      <alignment horizontal="center" vertical="center" readingOrder="2"/>
    </xf>
    <xf numFmtId="164" fontId="22" fillId="8" borderId="16" xfId="0" applyNumberFormat="1" applyFont="1" applyFill="1" applyBorder="1" applyAlignment="1">
      <alignment horizontal="center" vertical="center" wrapText="1" readingOrder="2"/>
    </xf>
    <xf numFmtId="0" fontId="23" fillId="5" borderId="22" xfId="0" applyFont="1" applyFill="1" applyBorder="1" applyAlignment="1">
      <alignment horizontal="center" vertical="center" readingOrder="2"/>
    </xf>
    <xf numFmtId="165" fontId="23" fillId="5" borderId="22" xfId="1" applyNumberFormat="1" applyFont="1" applyFill="1" applyBorder="1" applyAlignment="1">
      <alignment horizontal="center" vertical="center" readingOrder="2"/>
    </xf>
    <xf numFmtId="9" fontId="7" fillId="8" borderId="35" xfId="1" applyFont="1" applyFill="1" applyBorder="1" applyAlignment="1">
      <alignment horizontal="center" vertical="center" wrapText="1" readingOrder="2"/>
    </xf>
    <xf numFmtId="9" fontId="7" fillId="8" borderId="0" xfId="1" applyFont="1" applyFill="1" applyBorder="1" applyAlignment="1">
      <alignment horizontal="center" vertical="center" wrapText="1" readingOrder="2"/>
    </xf>
    <xf numFmtId="165" fontId="22" fillId="8" borderId="0" xfId="1" applyNumberFormat="1" applyFont="1" applyFill="1" applyBorder="1" applyAlignment="1">
      <alignment horizontal="center" vertical="center" wrapText="1" readingOrder="2"/>
    </xf>
    <xf numFmtId="164" fontId="22" fillId="8" borderId="0" xfId="1" applyNumberFormat="1" applyFont="1" applyFill="1" applyBorder="1" applyAlignment="1">
      <alignment horizontal="center" vertical="center" wrapText="1" readingOrder="2"/>
    </xf>
    <xf numFmtId="0" fontId="22" fillId="8" borderId="0" xfId="0" applyFont="1" applyFill="1" applyAlignment="1">
      <alignment horizontal="center" vertical="center" wrapText="1" readingOrder="2"/>
    </xf>
    <xf numFmtId="165" fontId="23" fillId="8" borderId="0" xfId="1" applyNumberFormat="1" applyFont="1" applyFill="1" applyBorder="1" applyAlignment="1">
      <alignment horizontal="center" vertical="center" readingOrder="2"/>
    </xf>
    <xf numFmtId="164" fontId="22" fillId="8" borderId="36" xfId="1" applyNumberFormat="1" applyFont="1" applyFill="1" applyBorder="1" applyAlignment="1">
      <alignment horizontal="center" vertical="center" wrapText="1" readingOrder="2"/>
    </xf>
    <xf numFmtId="165" fontId="23" fillId="9" borderId="38" xfId="1" applyNumberFormat="1" applyFont="1" applyFill="1" applyBorder="1" applyAlignment="1">
      <alignment horizontal="center" vertical="center" readingOrder="2"/>
    </xf>
    <xf numFmtId="0" fontId="23" fillId="8" borderId="16" xfId="0" applyFont="1" applyFill="1" applyBorder="1" applyAlignment="1">
      <alignment horizontal="center" vertical="center" readingOrder="2"/>
    </xf>
    <xf numFmtId="9" fontId="23" fillId="9" borderId="14" xfId="1" applyFont="1" applyFill="1" applyBorder="1" applyAlignment="1">
      <alignment horizontal="center" vertical="center" readingOrder="2"/>
    </xf>
    <xf numFmtId="165" fontId="23" fillId="9" borderId="40" xfId="1" applyNumberFormat="1" applyFont="1" applyFill="1" applyBorder="1" applyAlignment="1">
      <alignment horizontal="center" vertical="center" readingOrder="2"/>
    </xf>
    <xf numFmtId="164" fontId="22" fillId="8" borderId="15" xfId="1" applyNumberFormat="1" applyFont="1" applyFill="1" applyBorder="1" applyAlignment="1">
      <alignment horizontal="center" vertical="center" wrapText="1" readingOrder="2"/>
    </xf>
    <xf numFmtId="164" fontId="22" fillId="8" borderId="31" xfId="1" applyNumberFormat="1" applyFont="1" applyFill="1" applyBorder="1" applyAlignment="1">
      <alignment horizontal="center" vertical="center" wrapText="1" readingOrder="2"/>
    </xf>
    <xf numFmtId="0" fontId="22" fillId="8" borderId="31" xfId="0" applyFont="1" applyFill="1" applyBorder="1" applyAlignment="1">
      <alignment horizontal="center" vertical="center" wrapText="1" readingOrder="2"/>
    </xf>
    <xf numFmtId="9" fontId="23" fillId="8" borderId="31" xfId="1" applyFont="1" applyFill="1" applyBorder="1" applyAlignment="1">
      <alignment horizontal="center" vertical="center" readingOrder="2"/>
    </xf>
    <xf numFmtId="164" fontId="22" fillId="8" borderId="16" xfId="1" applyNumberFormat="1" applyFont="1" applyFill="1" applyBorder="1" applyAlignment="1">
      <alignment horizontal="center" vertical="center" wrapText="1" readingOrder="2"/>
    </xf>
    <xf numFmtId="0" fontId="22" fillId="12" borderId="12" xfId="0" applyFont="1" applyFill="1" applyBorder="1" applyAlignment="1">
      <alignment horizontal="center" vertical="center" wrapText="1" readingOrder="2"/>
    </xf>
    <xf numFmtId="0" fontId="23" fillId="5" borderId="12" xfId="0" applyFont="1" applyFill="1" applyBorder="1" applyAlignment="1">
      <alignment horizontal="center" vertical="center" readingOrder="2"/>
    </xf>
    <xf numFmtId="165" fontId="23" fillId="5" borderId="47" xfId="1" applyNumberFormat="1" applyFont="1" applyFill="1" applyBorder="1" applyAlignment="1">
      <alignment horizontal="center" vertical="center" readingOrder="2"/>
    </xf>
    <xf numFmtId="0" fontId="23" fillId="5" borderId="14" xfId="0" applyFont="1" applyFill="1" applyBorder="1" applyAlignment="1">
      <alignment horizontal="center" vertical="center" readingOrder="2"/>
    </xf>
    <xf numFmtId="164" fontId="22" fillId="8" borderId="16" xfId="0" applyNumberFormat="1" applyFont="1" applyFill="1" applyBorder="1" applyAlignment="1">
      <alignment horizontal="center" vertical="center" readingOrder="2"/>
    </xf>
    <xf numFmtId="9" fontId="23" fillId="9" borderId="22" xfId="1" applyFont="1" applyFill="1" applyBorder="1" applyAlignment="1">
      <alignment horizontal="center" vertical="center" readingOrder="2"/>
    </xf>
    <xf numFmtId="9" fontId="23" fillId="8" borderId="0" xfId="1" applyFont="1" applyFill="1" applyBorder="1" applyAlignment="1">
      <alignment horizontal="center" vertical="center" readingOrder="2"/>
    </xf>
    <xf numFmtId="165" fontId="23" fillId="5" borderId="18" xfId="1" applyNumberFormat="1" applyFont="1" applyFill="1" applyBorder="1" applyAlignment="1">
      <alignment horizontal="center" vertical="center" readingOrder="2"/>
    </xf>
    <xf numFmtId="0" fontId="23" fillId="5" borderId="13" xfId="0" applyFont="1" applyFill="1" applyBorder="1" applyAlignment="1">
      <alignment vertical="center" readingOrder="2"/>
    </xf>
    <xf numFmtId="165" fontId="23" fillId="11" borderId="13" xfId="1" applyNumberFormat="1" applyFont="1" applyFill="1" applyBorder="1" applyAlignment="1">
      <alignment horizontal="center" vertical="center" readingOrder="2"/>
    </xf>
    <xf numFmtId="165" fontId="23" fillId="9" borderId="14" xfId="1" applyNumberFormat="1" applyFont="1" applyFill="1" applyBorder="1" applyAlignment="1">
      <alignment horizontal="center" vertical="center" readingOrder="2"/>
    </xf>
    <xf numFmtId="0" fontId="23" fillId="11" borderId="12" xfId="0" applyFont="1" applyFill="1" applyBorder="1" applyAlignment="1">
      <alignment horizontal="center" vertical="center" readingOrder="2"/>
    </xf>
    <xf numFmtId="165" fontId="23" fillId="11" borderId="47" xfId="1" applyNumberFormat="1" applyFont="1" applyFill="1" applyBorder="1" applyAlignment="1">
      <alignment horizontal="center" vertical="center" readingOrder="2"/>
    </xf>
    <xf numFmtId="165" fontId="23" fillId="5" borderId="45" xfId="1" applyNumberFormat="1" applyFont="1" applyFill="1" applyBorder="1" applyAlignment="1">
      <alignment horizontal="center" vertical="center" readingOrder="2"/>
    </xf>
    <xf numFmtId="165" fontId="23" fillId="9" borderId="18" xfId="1" applyNumberFormat="1" applyFont="1" applyFill="1" applyBorder="1" applyAlignment="1">
      <alignment horizontal="center" vertical="center" readingOrder="2"/>
    </xf>
    <xf numFmtId="0" fontId="22" fillId="12" borderId="22" xfId="0" applyFont="1" applyFill="1" applyBorder="1" applyAlignment="1">
      <alignment horizontal="center" vertical="center" wrapText="1" readingOrder="2"/>
    </xf>
    <xf numFmtId="165" fontId="23" fillId="9" borderId="22" xfId="1" applyNumberFormat="1" applyFont="1" applyFill="1" applyBorder="1" applyAlignment="1">
      <alignment horizontal="center" vertical="center" readingOrder="2"/>
    </xf>
    <xf numFmtId="0" fontId="22" fillId="8" borderId="0" xfId="0" applyFont="1" applyFill="1" applyAlignment="1">
      <alignment vertical="center" wrapText="1" readingOrder="2"/>
    </xf>
    <xf numFmtId="164" fontId="23" fillId="8" borderId="13" xfId="0" applyNumberFormat="1" applyFont="1" applyFill="1" applyBorder="1" applyAlignment="1">
      <alignment horizontal="center" vertical="center" readingOrder="2"/>
    </xf>
    <xf numFmtId="0" fontId="23" fillId="8" borderId="13" xfId="0" applyFont="1" applyFill="1" applyBorder="1" applyAlignment="1">
      <alignment horizontal="center" vertical="center" wrapText="1" readingOrder="2"/>
    </xf>
    <xf numFmtId="0" fontId="22" fillId="8" borderId="15" xfId="0" applyFont="1" applyFill="1" applyBorder="1" applyAlignment="1">
      <alignment horizontal="center" vertical="center" wrapText="1" readingOrder="2"/>
    </xf>
    <xf numFmtId="0" fontId="23" fillId="5" borderId="22" xfId="0" applyFont="1" applyFill="1" applyBorder="1" applyAlignment="1">
      <alignment vertical="center" readingOrder="2"/>
    </xf>
    <xf numFmtId="165" fontId="15" fillId="0" borderId="0" xfId="0" applyNumberFormat="1" applyFont="1" applyAlignment="1">
      <alignment readingOrder="2"/>
    </xf>
    <xf numFmtId="0" fontId="16" fillId="0" borderId="0" xfId="0" applyFont="1" applyAlignment="1">
      <alignment readingOrder="2"/>
    </xf>
    <xf numFmtId="164" fontId="16" fillId="0" borderId="0" xfId="0" applyNumberFormat="1" applyFont="1" applyAlignment="1">
      <alignment readingOrder="2"/>
    </xf>
    <xf numFmtId="164" fontId="15" fillId="0" borderId="0" xfId="0" applyNumberFormat="1" applyFont="1" applyAlignment="1">
      <alignment horizontal="center" vertical="center" readingOrder="2"/>
    </xf>
    <xf numFmtId="0" fontId="15" fillId="0" borderId="0" xfId="0" applyFont="1" applyAlignment="1">
      <alignment horizontal="center" vertical="center" readingOrder="2"/>
    </xf>
    <xf numFmtId="164" fontId="17" fillId="7" borderId="9" xfId="0" applyNumberFormat="1" applyFont="1" applyFill="1" applyBorder="1" applyAlignment="1" applyProtection="1">
      <alignment horizontal="center" vertical="center" wrapText="1" readingOrder="2"/>
      <protection locked="0"/>
    </xf>
    <xf numFmtId="9" fontId="1" fillId="0" borderId="14" xfId="0" applyNumberFormat="1" applyFont="1" applyBorder="1" applyAlignment="1">
      <alignment horizontal="center" vertical="center" wrapText="1" readingOrder="2"/>
    </xf>
    <xf numFmtId="164" fontId="14" fillId="8" borderId="31" xfId="0" applyNumberFormat="1" applyFont="1" applyFill="1" applyBorder="1" applyAlignment="1">
      <alignment horizontal="center" vertical="center" wrapText="1" readingOrder="2"/>
    </xf>
    <xf numFmtId="164" fontId="30" fillId="8" borderId="16" xfId="0" applyNumberFormat="1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2" borderId="38" xfId="0" applyNumberFormat="1" applyFont="1" applyFill="1" applyBorder="1" applyAlignment="1">
      <alignment horizontal="center" vertical="center" wrapText="1" readingOrder="2"/>
    </xf>
    <xf numFmtId="0" fontId="1" fillId="4" borderId="15" xfId="0" applyFont="1" applyFill="1" applyBorder="1" applyAlignment="1">
      <alignment horizontal="center" vertical="center" wrapText="1" readingOrder="2"/>
    </xf>
    <xf numFmtId="9" fontId="1" fillId="0" borderId="15" xfId="0" applyNumberFormat="1" applyFont="1" applyBorder="1" applyAlignment="1">
      <alignment horizontal="center" vertical="center" wrapText="1" readingOrder="2"/>
    </xf>
    <xf numFmtId="9" fontId="1" fillId="2" borderId="15" xfId="0" applyNumberFormat="1" applyFont="1" applyFill="1" applyBorder="1" applyAlignment="1">
      <alignment horizontal="center" vertical="center" wrapText="1" readingOrder="2"/>
    </xf>
    <xf numFmtId="164" fontId="30" fillId="8" borderId="31" xfId="0" applyNumberFormat="1" applyFont="1" applyFill="1" applyBorder="1" applyAlignment="1">
      <alignment horizontal="center" vertical="center" wrapText="1" readingOrder="2"/>
    </xf>
    <xf numFmtId="164" fontId="32" fillId="8" borderId="16" xfId="0" applyNumberFormat="1" applyFont="1" applyFill="1" applyBorder="1" applyAlignment="1">
      <alignment horizontal="center" vertical="center" wrapText="1" readingOrder="2"/>
    </xf>
    <xf numFmtId="9" fontId="1" fillId="2" borderId="13" xfId="0" applyNumberFormat="1" applyFont="1" applyFill="1" applyBorder="1" applyAlignment="1">
      <alignment horizontal="center" vertical="center" wrapText="1" readingOrder="2"/>
    </xf>
    <xf numFmtId="164" fontId="14" fillId="8" borderId="13" xfId="0" applyNumberFormat="1" applyFont="1" applyFill="1" applyBorder="1" applyAlignment="1">
      <alignment horizontal="center" vertical="center" wrapText="1" readingOrder="2"/>
    </xf>
    <xf numFmtId="164" fontId="30" fillId="8" borderId="13" xfId="0" applyNumberFormat="1" applyFont="1" applyFill="1" applyBorder="1" applyAlignment="1">
      <alignment horizontal="center" vertical="center" wrapText="1" readingOrder="2"/>
    </xf>
    <xf numFmtId="0" fontId="15" fillId="6" borderId="3" xfId="0" applyFont="1" applyFill="1" applyBorder="1" applyAlignment="1">
      <alignment horizontal="center" vertical="center" readingOrder="2"/>
    </xf>
    <xf numFmtId="0" fontId="15" fillId="6" borderId="4" xfId="0" applyFont="1" applyFill="1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6" borderId="4" xfId="0" applyFill="1" applyBorder="1" applyAlignment="1">
      <alignment horizontal="center" vertical="center" readingOrder="2"/>
    </xf>
    <xf numFmtId="0" fontId="0" fillId="0" borderId="4" xfId="0" applyBorder="1" applyAlignment="1">
      <alignment horizontal="right" readingOrder="2"/>
    </xf>
    <xf numFmtId="164" fontId="0" fillId="0" borderId="4" xfId="0" applyNumberFormat="1" applyBorder="1" applyAlignment="1">
      <alignment horizontal="right" readingOrder="2"/>
    </xf>
    <xf numFmtId="164" fontId="0" fillId="6" borderId="4" xfId="0" applyNumberFormat="1" applyFill="1" applyBorder="1" applyAlignment="1">
      <alignment horizontal="center" vertical="center" readingOrder="2"/>
    </xf>
    <xf numFmtId="164" fontId="5" fillId="13" borderId="1" xfId="0" applyNumberFormat="1" applyFont="1" applyFill="1" applyBorder="1" applyAlignment="1">
      <alignment horizontal="center" vertical="center" readingOrder="2"/>
    </xf>
    <xf numFmtId="0" fontId="15" fillId="0" borderId="0" xfId="0" applyFont="1"/>
    <xf numFmtId="0" fontId="36" fillId="17" borderId="0" xfId="0" applyFont="1" applyFill="1" applyAlignment="1">
      <alignment horizontal="center" vertical="center" wrapText="1" readingOrder="2"/>
    </xf>
    <xf numFmtId="0" fontId="36" fillId="17" borderId="68" xfId="0" applyFont="1" applyFill="1" applyBorder="1" applyAlignment="1">
      <alignment horizontal="center" vertical="center" wrapText="1" readingOrder="2"/>
    </xf>
    <xf numFmtId="0" fontId="36" fillId="16" borderId="49" xfId="0" applyFont="1" applyFill="1" applyBorder="1" applyAlignment="1">
      <alignment horizontal="center" vertical="center" wrapText="1"/>
    </xf>
    <xf numFmtId="164" fontId="36" fillId="16" borderId="49" xfId="0" applyNumberFormat="1" applyFont="1" applyFill="1" applyBorder="1" applyAlignment="1">
      <alignment horizontal="center" vertical="center" wrapText="1"/>
    </xf>
    <xf numFmtId="164" fontId="36" fillId="16" borderId="19" xfId="0" applyNumberFormat="1" applyFont="1" applyFill="1" applyBorder="1" applyAlignment="1">
      <alignment horizontal="center" vertical="center" wrapText="1"/>
    </xf>
    <xf numFmtId="0" fontId="36" fillId="17" borderId="69" xfId="0" applyFont="1" applyFill="1" applyBorder="1" applyAlignment="1">
      <alignment horizontal="center" vertical="center" readingOrder="2"/>
    </xf>
    <xf numFmtId="0" fontId="15" fillId="18" borderId="70" xfId="0" applyFont="1" applyFill="1" applyBorder="1" applyAlignment="1">
      <alignment horizontal="center" readingOrder="2"/>
    </xf>
    <xf numFmtId="166" fontId="22" fillId="18" borderId="70" xfId="0" applyNumberFormat="1" applyFont="1" applyFill="1" applyBorder="1" applyAlignment="1">
      <alignment horizontal="center" vertical="center" readingOrder="2"/>
    </xf>
    <xf numFmtId="0" fontId="36" fillId="16" borderId="67" xfId="0" applyFont="1" applyFill="1" applyBorder="1" applyAlignment="1">
      <alignment horizontal="right" vertical="center"/>
    </xf>
    <xf numFmtId="164" fontId="38" fillId="15" borderId="67" xfId="0" applyNumberFormat="1" applyFont="1" applyFill="1" applyBorder="1" applyAlignment="1">
      <alignment horizontal="center" vertical="center"/>
    </xf>
    <xf numFmtId="0" fontId="15" fillId="15" borderId="67" xfId="0" applyFont="1" applyFill="1" applyBorder="1" applyAlignment="1">
      <alignment horizontal="right" vertical="center"/>
    </xf>
    <xf numFmtId="166" fontId="35" fillId="15" borderId="67" xfId="0" applyNumberFormat="1" applyFont="1" applyFill="1" applyBorder="1" applyAlignment="1">
      <alignment horizontal="center" vertical="center"/>
    </xf>
    <xf numFmtId="0" fontId="15" fillId="14" borderId="67" xfId="0" applyFont="1" applyFill="1" applyBorder="1" applyAlignment="1">
      <alignment horizontal="center" vertical="center"/>
    </xf>
    <xf numFmtId="166" fontId="26" fillId="15" borderId="67" xfId="0" applyNumberFormat="1" applyFont="1" applyFill="1" applyBorder="1" applyAlignment="1">
      <alignment horizontal="center" vertical="center"/>
    </xf>
    <xf numFmtId="165" fontId="35" fillId="15" borderId="67" xfId="0" applyNumberFormat="1" applyFont="1" applyFill="1" applyBorder="1" applyAlignment="1">
      <alignment horizontal="center" vertical="center"/>
    </xf>
    <xf numFmtId="0" fontId="36" fillId="17" borderId="71" xfId="0" applyFont="1" applyFill="1" applyBorder="1" applyAlignment="1">
      <alignment horizontal="center" vertical="center" readingOrder="2"/>
    </xf>
    <xf numFmtId="0" fontId="15" fillId="19" borderId="66" xfId="0" applyFont="1" applyFill="1" applyBorder="1" applyAlignment="1">
      <alignment horizontal="center" readingOrder="2"/>
    </xf>
    <xf numFmtId="166" fontId="22" fillId="19" borderId="66" xfId="0" applyNumberFormat="1" applyFont="1" applyFill="1" applyBorder="1" applyAlignment="1">
      <alignment horizontal="center" vertical="center" readingOrder="2"/>
    </xf>
    <xf numFmtId="0" fontId="36" fillId="16" borderId="0" xfId="0" applyFont="1" applyFill="1" applyAlignment="1">
      <alignment horizontal="right" vertical="center"/>
    </xf>
    <xf numFmtId="164" fontId="3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6" fontId="35" fillId="0" borderId="0" xfId="0" applyNumberFormat="1" applyFont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15" fillId="18" borderId="66" xfId="0" applyFont="1" applyFill="1" applyBorder="1" applyAlignment="1">
      <alignment horizontal="center" readingOrder="2"/>
    </xf>
    <xf numFmtId="166" fontId="22" fillId="18" borderId="66" xfId="0" applyNumberFormat="1" applyFont="1" applyFill="1" applyBorder="1" applyAlignment="1">
      <alignment horizontal="center" vertical="center" readingOrder="2"/>
    </xf>
    <xf numFmtId="164" fontId="38" fillId="15" borderId="0" xfId="0" applyNumberFormat="1" applyFont="1" applyFill="1" applyAlignment="1">
      <alignment horizontal="center" vertical="center"/>
    </xf>
    <xf numFmtId="0" fontId="15" fillId="15" borderId="0" xfId="0" applyFont="1" applyFill="1" applyAlignment="1">
      <alignment horizontal="right" vertical="center"/>
    </xf>
    <xf numFmtId="166" fontId="35" fillId="15" borderId="0" xfId="0" applyNumberFormat="1" applyFont="1" applyFill="1" applyAlignment="1">
      <alignment horizontal="center" vertical="center"/>
    </xf>
    <xf numFmtId="166" fontId="26" fillId="15" borderId="0" xfId="0" applyNumberFormat="1" applyFont="1" applyFill="1" applyAlignment="1">
      <alignment horizontal="center" vertical="center"/>
    </xf>
    <xf numFmtId="165" fontId="35" fillId="15" borderId="0" xfId="0" applyNumberFormat="1" applyFont="1" applyFill="1" applyAlignment="1">
      <alignment horizontal="center" vertical="center"/>
    </xf>
    <xf numFmtId="0" fontId="36" fillId="16" borderId="65" xfId="0" applyFont="1" applyFill="1" applyBorder="1" applyAlignment="1">
      <alignment horizontal="right" vertical="center"/>
    </xf>
    <xf numFmtId="164" fontId="38" fillId="15" borderId="65" xfId="0" applyNumberFormat="1" applyFont="1" applyFill="1" applyBorder="1" applyAlignment="1">
      <alignment horizontal="center" vertical="center"/>
    </xf>
    <xf numFmtId="0" fontId="15" fillId="15" borderId="65" xfId="0" applyFont="1" applyFill="1" applyBorder="1" applyAlignment="1">
      <alignment horizontal="right" vertical="center"/>
    </xf>
    <xf numFmtId="166" fontId="35" fillId="15" borderId="65" xfId="0" applyNumberFormat="1" applyFont="1" applyFill="1" applyBorder="1" applyAlignment="1">
      <alignment horizontal="center" vertical="center"/>
    </xf>
    <xf numFmtId="0" fontId="15" fillId="14" borderId="65" xfId="0" applyFont="1" applyFill="1" applyBorder="1" applyAlignment="1">
      <alignment horizontal="center" vertical="center"/>
    </xf>
    <xf numFmtId="166" fontId="26" fillId="15" borderId="65" xfId="0" applyNumberFormat="1" applyFont="1" applyFill="1" applyBorder="1" applyAlignment="1">
      <alignment horizontal="center" vertical="center"/>
    </xf>
    <xf numFmtId="165" fontId="35" fillId="15" borderId="6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165" fontId="15" fillId="0" borderId="0" xfId="0" applyNumberFormat="1" applyFont="1"/>
    <xf numFmtId="164" fontId="15" fillId="0" borderId="0" xfId="0" applyNumberFormat="1" applyFont="1"/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horizontal="center" vertical="center"/>
    </xf>
    <xf numFmtId="0" fontId="16" fillId="0" borderId="0" xfId="0" applyFont="1"/>
    <xf numFmtId="164" fontId="16" fillId="0" borderId="0" xfId="0" applyNumberFormat="1" applyFont="1"/>
    <xf numFmtId="166" fontId="15" fillId="0" borderId="0" xfId="0" applyNumberFormat="1" applyFont="1"/>
    <xf numFmtId="170" fontId="26" fillId="18" borderId="70" xfId="0" applyNumberFormat="1" applyFont="1" applyFill="1" applyBorder="1" applyAlignment="1">
      <alignment horizontal="center" vertical="center" readingOrder="2"/>
    </xf>
    <xf numFmtId="170" fontId="26" fillId="19" borderId="66" xfId="0" applyNumberFormat="1" applyFont="1" applyFill="1" applyBorder="1" applyAlignment="1">
      <alignment horizontal="center" vertical="center" readingOrder="2"/>
    </xf>
    <xf numFmtId="170" fontId="26" fillId="18" borderId="66" xfId="0" applyNumberFormat="1" applyFont="1" applyFill="1" applyBorder="1" applyAlignment="1">
      <alignment horizontal="center" vertical="center" readingOrder="2"/>
    </xf>
    <xf numFmtId="167" fontId="35" fillId="18" borderId="70" xfId="1" applyNumberFormat="1" applyFont="1" applyFill="1" applyBorder="1" applyAlignment="1" applyProtection="1">
      <alignment horizontal="center" vertical="center" readingOrder="2"/>
    </xf>
    <xf numFmtId="167" fontId="35" fillId="19" borderId="66" xfId="1" applyNumberFormat="1" applyFont="1" applyFill="1" applyBorder="1" applyAlignment="1" applyProtection="1">
      <alignment horizontal="center" vertical="center" readingOrder="2"/>
    </xf>
    <xf numFmtId="167" fontId="35" fillId="18" borderId="66" xfId="1" applyNumberFormat="1" applyFont="1" applyFill="1" applyBorder="1" applyAlignment="1" applyProtection="1">
      <alignment horizontal="center" vertical="center" readingOrder="2"/>
    </xf>
    <xf numFmtId="164" fontId="25" fillId="18" borderId="70" xfId="0" applyNumberFormat="1" applyFont="1" applyFill="1" applyBorder="1" applyAlignment="1">
      <alignment horizontal="center" vertical="center" readingOrder="2"/>
    </xf>
    <xf numFmtId="164" fontId="25" fillId="19" borderId="66" xfId="0" applyNumberFormat="1" applyFont="1" applyFill="1" applyBorder="1" applyAlignment="1">
      <alignment horizontal="center" vertical="center" readingOrder="2"/>
    </xf>
    <xf numFmtId="164" fontId="25" fillId="18" borderId="66" xfId="0" applyNumberFormat="1" applyFont="1" applyFill="1" applyBorder="1" applyAlignment="1">
      <alignment horizontal="center" vertical="center" readingOrder="2"/>
    </xf>
    <xf numFmtId="0" fontId="8" fillId="6" borderId="0" xfId="0" applyFont="1" applyFill="1" applyAlignment="1">
      <alignment horizontal="center" vertical="center"/>
    </xf>
    <xf numFmtId="0" fontId="9" fillId="6" borderId="6" xfId="0" applyFont="1" applyFill="1" applyBorder="1" applyAlignment="1">
      <alignment horizontal="right" vertical="center"/>
    </xf>
    <xf numFmtId="0" fontId="40" fillId="6" borderId="0" xfId="0" applyFont="1" applyFill="1"/>
    <xf numFmtId="168" fontId="41" fillId="6" borderId="0" xfId="0" applyNumberFormat="1" applyFont="1" applyFill="1" applyAlignment="1">
      <alignment horizontal="center"/>
    </xf>
    <xf numFmtId="0" fontId="41" fillId="6" borderId="0" xfId="0" applyFont="1" applyFill="1"/>
    <xf numFmtId="168" fontId="40" fillId="6" borderId="0" xfId="0" applyNumberFormat="1" applyFont="1" applyFill="1" applyAlignment="1">
      <alignment horizontal="center"/>
    </xf>
    <xf numFmtId="165" fontId="40" fillId="6" borderId="0" xfId="1" applyNumberFormat="1" applyFont="1" applyFill="1" applyBorder="1" applyAlignment="1">
      <alignment horizontal="center"/>
    </xf>
    <xf numFmtId="169" fontId="40" fillId="6" borderId="0" xfId="0" applyNumberFormat="1" applyFont="1" applyFill="1" applyAlignment="1">
      <alignment horizontal="center"/>
    </xf>
    <xf numFmtId="166" fontId="40" fillId="6" borderId="0" xfId="0" applyNumberFormat="1" applyFont="1" applyFill="1" applyAlignment="1">
      <alignment horizontal="center"/>
    </xf>
    <xf numFmtId="165" fontId="40" fillId="0" borderId="0" xfId="1" applyNumberFormat="1" applyFont="1" applyFill="1" applyBorder="1" applyAlignment="1">
      <alignment horizontal="center"/>
    </xf>
    <xf numFmtId="0" fontId="42" fillId="6" borderId="0" xfId="0" applyFont="1" applyFill="1"/>
    <xf numFmtId="0" fontId="23" fillId="0" borderId="49" xfId="0" applyFont="1" applyBorder="1" applyAlignment="1" applyProtection="1">
      <alignment horizontal="center" vertical="center" wrapText="1"/>
      <protection locked="0"/>
    </xf>
    <xf numFmtId="0" fontId="23" fillId="0" borderId="40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9" xfId="0" applyFont="1" applyBorder="1" applyAlignment="1" applyProtection="1">
      <alignment horizontal="center" vertical="center" wrapText="1" readingOrder="2"/>
      <protection locked="0"/>
    </xf>
    <xf numFmtId="0" fontId="23" fillId="0" borderId="40" xfId="0" applyFont="1" applyBorder="1" applyAlignment="1" applyProtection="1">
      <alignment horizontal="center" vertical="center" wrapText="1" readingOrder="2"/>
      <protection locked="0"/>
    </xf>
    <xf numFmtId="0" fontId="23" fillId="0" borderId="48" xfId="0" applyFont="1" applyBorder="1" applyAlignment="1" applyProtection="1">
      <alignment horizontal="center" vertical="center" wrapText="1" readingOrder="2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 readingOrder="2"/>
      <protection locked="0"/>
    </xf>
    <xf numFmtId="0" fontId="23" fillId="0" borderId="60" xfId="0" applyFont="1" applyBorder="1" applyAlignment="1" applyProtection="1">
      <alignment horizontal="center" vertical="center" wrapText="1" readingOrder="2"/>
      <protection locked="0"/>
    </xf>
    <xf numFmtId="166" fontId="23" fillId="0" borderId="48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38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40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49" xfId="0" applyNumberFormat="1" applyFont="1" applyBorder="1" applyAlignment="1" applyProtection="1">
      <alignment horizontal="center" vertical="center" wrapText="1"/>
      <protection locked="0"/>
    </xf>
    <xf numFmtId="166" fontId="23" fillId="0" borderId="45" xfId="0" applyNumberFormat="1" applyFont="1" applyBorder="1" applyAlignment="1" applyProtection="1">
      <alignment horizontal="center" vertical="center" wrapText="1"/>
      <protection locked="0"/>
    </xf>
    <xf numFmtId="166" fontId="23" fillId="0" borderId="15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45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49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19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13" xfId="0" applyNumberFormat="1" applyFont="1" applyBorder="1" applyAlignment="1" applyProtection="1">
      <alignment horizontal="center" vertical="center" wrapText="1" readingOrder="2"/>
      <protection locked="0"/>
    </xf>
    <xf numFmtId="166" fontId="23" fillId="0" borderId="59" xfId="0" applyNumberFormat="1" applyFont="1" applyBorder="1" applyAlignment="1" applyProtection="1">
      <alignment horizontal="center" vertical="center" wrapText="1" readingOrder="2"/>
      <protection locked="0"/>
    </xf>
    <xf numFmtId="166" fontId="35" fillId="0" borderId="8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readingOrder="2"/>
    </xf>
    <xf numFmtId="0" fontId="23" fillId="0" borderId="0" xfId="0" applyFont="1" applyAlignment="1">
      <alignment readingOrder="2"/>
    </xf>
    <xf numFmtId="9" fontId="23" fillId="0" borderId="0" xfId="0" applyNumberFormat="1" applyFont="1" applyAlignment="1">
      <alignment readingOrder="2"/>
    </xf>
    <xf numFmtId="0" fontId="23" fillId="0" borderId="0" xfId="0" applyFont="1" applyAlignment="1">
      <alignment horizontal="center" vertical="center" readingOrder="2"/>
    </xf>
    <xf numFmtId="0" fontId="46" fillId="0" borderId="0" xfId="0" applyFont="1" applyAlignment="1">
      <alignment readingOrder="2"/>
    </xf>
    <xf numFmtId="0" fontId="36" fillId="0" borderId="0" xfId="0" applyFont="1" applyAlignment="1">
      <alignment horizontal="center" vertical="center" readingOrder="2"/>
    </xf>
    <xf numFmtId="164" fontId="25" fillId="0" borderId="0" xfId="0" applyNumberFormat="1" applyFont="1" applyAlignment="1">
      <alignment horizontal="center" vertical="center" readingOrder="2"/>
    </xf>
    <xf numFmtId="0" fontId="15" fillId="0" borderId="0" xfId="0" applyFont="1" applyAlignment="1">
      <alignment horizontal="center" readingOrder="2"/>
    </xf>
    <xf numFmtId="166" fontId="22" fillId="0" borderId="0" xfId="0" applyNumberFormat="1" applyFont="1" applyAlignment="1">
      <alignment horizontal="center" vertical="center" readingOrder="2"/>
    </xf>
    <xf numFmtId="170" fontId="26" fillId="0" borderId="0" xfId="0" applyNumberFormat="1" applyFont="1" applyAlignment="1">
      <alignment horizontal="center" vertical="center" readingOrder="2"/>
    </xf>
    <xf numFmtId="167" fontId="35" fillId="0" borderId="0" xfId="1" applyNumberFormat="1" applyFont="1" applyFill="1" applyBorder="1" applyAlignment="1" applyProtection="1">
      <alignment horizontal="center" vertical="center" readingOrder="2"/>
    </xf>
    <xf numFmtId="166" fontId="38" fillId="0" borderId="10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wrapText="1" readingOrder="2"/>
    </xf>
    <xf numFmtId="0" fontId="45" fillId="0" borderId="0" xfId="0" applyFont="1" applyAlignment="1">
      <alignment readingOrder="2"/>
    </xf>
    <xf numFmtId="0" fontId="44" fillId="0" borderId="0" xfId="0" applyFont="1" applyAlignment="1">
      <alignment readingOrder="2"/>
    </xf>
    <xf numFmtId="0" fontId="44" fillId="0" borderId="0" xfId="0" applyFont="1" applyAlignment="1">
      <alignment horizontal="center" vertical="center" readingOrder="2"/>
    </xf>
    <xf numFmtId="164" fontId="48" fillId="0" borderId="4" xfId="0" applyNumberFormat="1" applyFont="1" applyBorder="1" applyAlignment="1">
      <alignment horizontal="center" readingOrder="2"/>
    </xf>
    <xf numFmtId="164" fontId="15" fillId="0" borderId="0" xfId="0" applyNumberFormat="1" applyFont="1" applyAlignment="1">
      <alignment horizontal="center" readingOrder="2"/>
    </xf>
    <xf numFmtId="164" fontId="15" fillId="0" borderId="0" xfId="0" applyNumberFormat="1" applyFont="1" applyAlignment="1">
      <alignment horizontal="center" wrapText="1" readingOrder="2"/>
    </xf>
    <xf numFmtId="0" fontId="47" fillId="0" borderId="12" xfId="0" applyFont="1" applyBorder="1" applyAlignment="1" applyProtection="1">
      <alignment horizontal="right" vertical="center" wrapText="1" readingOrder="2"/>
      <protection locked="0"/>
    </xf>
    <xf numFmtId="0" fontId="47" fillId="0" borderId="13" xfId="0" applyFont="1" applyBorder="1" applyAlignment="1" applyProtection="1">
      <alignment horizontal="right" vertical="center" wrapText="1" readingOrder="2"/>
      <protection locked="0"/>
    </xf>
    <xf numFmtId="0" fontId="47" fillId="0" borderId="18" xfId="0" applyFont="1" applyBorder="1" applyAlignment="1" applyProtection="1">
      <alignment horizontal="right" vertical="center" wrapText="1" readingOrder="2"/>
      <protection locked="0"/>
    </xf>
    <xf numFmtId="0" fontId="47" fillId="0" borderId="18" xfId="0" applyFont="1" applyBorder="1" applyAlignment="1" applyProtection="1">
      <alignment vertical="center" wrapText="1" readingOrder="2"/>
      <protection locked="0"/>
    </xf>
    <xf numFmtId="0" fontId="47" fillId="4" borderId="18" xfId="0" applyFont="1" applyFill="1" applyBorder="1" applyAlignment="1" applyProtection="1">
      <alignment horizontal="right" vertical="center" wrapText="1" readingOrder="2"/>
      <protection locked="0"/>
    </xf>
    <xf numFmtId="0" fontId="47" fillId="4" borderId="13" xfId="0" applyFont="1" applyFill="1" applyBorder="1" applyAlignment="1" applyProtection="1">
      <alignment horizontal="right" vertical="center" wrapText="1" readingOrder="2"/>
      <protection locked="0"/>
    </xf>
    <xf numFmtId="0" fontId="15" fillId="0" borderId="0" xfId="0" applyFont="1" applyAlignment="1">
      <alignment horizontal="center" vertical="center" wrapText="1" readingOrder="2"/>
    </xf>
    <xf numFmtId="0" fontId="15" fillId="14" borderId="0" xfId="0" applyFont="1" applyFill="1" applyAlignment="1">
      <alignment horizontal="center" vertical="center" readingOrder="2"/>
    </xf>
    <xf numFmtId="164" fontId="7" fillId="0" borderId="0" xfId="0" applyNumberFormat="1" applyFont="1" applyAlignment="1">
      <alignment horizontal="center" vertical="center" readingOrder="2"/>
    </xf>
    <xf numFmtId="167" fontId="22" fillId="18" borderId="70" xfId="1" applyNumberFormat="1" applyFont="1" applyFill="1" applyBorder="1" applyAlignment="1" applyProtection="1">
      <alignment horizontal="center" vertical="center" readingOrder="2"/>
    </xf>
    <xf numFmtId="167" fontId="22" fillId="19" borderId="66" xfId="1" applyNumberFormat="1" applyFont="1" applyFill="1" applyBorder="1" applyAlignment="1" applyProtection="1">
      <alignment horizontal="center" vertical="center" readingOrder="2"/>
    </xf>
    <xf numFmtId="167" fontId="22" fillId="18" borderId="66" xfId="1" applyNumberFormat="1" applyFont="1" applyFill="1" applyBorder="1" applyAlignment="1" applyProtection="1">
      <alignment horizontal="center" vertical="center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0" fontId="51" fillId="0" borderId="0" xfId="0" applyFont="1"/>
    <xf numFmtId="165" fontId="51" fillId="0" borderId="0" xfId="0" applyNumberFormat="1" applyFont="1"/>
    <xf numFmtId="164" fontId="51" fillId="0" borderId="0" xfId="0" applyNumberFormat="1" applyFont="1"/>
    <xf numFmtId="0" fontId="51" fillId="0" borderId="0" xfId="0" applyFont="1" applyAlignment="1">
      <alignment wrapText="1"/>
    </xf>
    <xf numFmtId="166" fontId="51" fillId="0" borderId="0" xfId="0" applyNumberFormat="1" applyFont="1" applyAlignment="1">
      <alignment horizontal="center" vertical="center"/>
    </xf>
    <xf numFmtId="166" fontId="52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164" fontId="22" fillId="8" borderId="9" xfId="0" applyNumberFormat="1" applyFont="1" applyFill="1" applyBorder="1" applyAlignment="1">
      <alignment horizontal="center" vertical="center" wrapText="1" readingOrder="2"/>
    </xf>
    <xf numFmtId="164" fontId="53" fillId="8" borderId="0" xfId="0" applyNumberFormat="1" applyFont="1" applyFill="1" applyAlignment="1">
      <alignment horizontal="center" vertical="center" wrapText="1" readingOrder="2"/>
    </xf>
    <xf numFmtId="164" fontId="38" fillId="8" borderId="0" xfId="1" applyNumberFormat="1" applyFont="1" applyFill="1" applyBorder="1" applyAlignment="1">
      <alignment horizontal="center" vertical="center" wrapText="1" readingOrder="2"/>
    </xf>
    <xf numFmtId="164" fontId="53" fillId="0" borderId="0" xfId="0" applyNumberFormat="1" applyFont="1" applyAlignment="1">
      <alignment readingOrder="2"/>
    </xf>
    <xf numFmtId="164" fontId="54" fillId="3" borderId="8" xfId="0" applyNumberFormat="1" applyFont="1" applyFill="1" applyBorder="1" applyAlignment="1">
      <alignment horizontal="center" vertical="center" wrapText="1" readingOrder="2"/>
    </xf>
    <xf numFmtId="164" fontId="55" fillId="8" borderId="0" xfId="0" applyNumberFormat="1" applyFont="1" applyFill="1" applyAlignment="1">
      <alignment horizontal="center" vertical="center" wrapText="1" readingOrder="2"/>
    </xf>
    <xf numFmtId="164" fontId="55" fillId="8" borderId="2" xfId="0" applyNumberFormat="1" applyFont="1" applyFill="1" applyBorder="1" applyAlignment="1">
      <alignment horizontal="center" vertical="center" wrapText="1" readingOrder="2"/>
    </xf>
    <xf numFmtId="164" fontId="53" fillId="6" borderId="3" xfId="0" applyNumberFormat="1" applyFont="1" applyFill="1" applyBorder="1" applyAlignment="1">
      <alignment horizontal="center" vertical="center" readingOrder="2"/>
    </xf>
    <xf numFmtId="0" fontId="1" fillId="20" borderId="13" xfId="0" applyFont="1" applyFill="1" applyBorder="1" applyAlignment="1">
      <alignment horizontal="center" vertical="center" wrapText="1" readingOrder="2"/>
    </xf>
    <xf numFmtId="0" fontId="1" fillId="20" borderId="13" xfId="0" applyFont="1" applyFill="1" applyBorder="1" applyAlignment="1">
      <alignment horizontal="right" vertical="center" wrapText="1" readingOrder="2"/>
    </xf>
    <xf numFmtId="0" fontId="1" fillId="20" borderId="22" xfId="0" applyFont="1" applyFill="1" applyBorder="1" applyAlignment="1">
      <alignment horizontal="center" vertical="center" wrapText="1" readingOrder="2"/>
    </xf>
    <xf numFmtId="0" fontId="1" fillId="20" borderId="22" xfId="0" applyFont="1" applyFill="1" applyBorder="1" applyAlignment="1">
      <alignment vertical="center" wrapText="1" readingOrder="2"/>
    </xf>
    <xf numFmtId="9" fontId="1" fillId="20" borderId="22" xfId="0" applyNumberFormat="1" applyFont="1" applyFill="1" applyBorder="1" applyAlignment="1">
      <alignment horizontal="center" vertical="center" wrapText="1" readingOrder="2"/>
    </xf>
    <xf numFmtId="171" fontId="22" fillId="18" borderId="70" xfId="0" applyNumberFormat="1" applyFont="1" applyFill="1" applyBorder="1" applyAlignment="1">
      <alignment horizontal="center" vertical="center" readingOrder="2"/>
    </xf>
    <xf numFmtId="171" fontId="22" fillId="19" borderId="66" xfId="0" applyNumberFormat="1" applyFont="1" applyFill="1" applyBorder="1" applyAlignment="1">
      <alignment horizontal="center" vertical="center" readingOrder="2"/>
    </xf>
    <xf numFmtId="171" fontId="22" fillId="18" borderId="66" xfId="0" applyNumberFormat="1" applyFont="1" applyFill="1" applyBorder="1" applyAlignment="1">
      <alignment horizontal="center" vertical="center" readingOrder="2"/>
    </xf>
    <xf numFmtId="0" fontId="15" fillId="18" borderId="70" xfId="0" applyFont="1" applyFill="1" applyBorder="1" applyAlignment="1">
      <alignment horizontal="right" readingOrder="2"/>
    </xf>
    <xf numFmtId="0" fontId="15" fillId="19" borderId="66" xfId="0" applyFont="1" applyFill="1" applyBorder="1" applyAlignment="1">
      <alignment horizontal="right" readingOrder="2"/>
    </xf>
    <xf numFmtId="0" fontId="15" fillId="18" borderId="66" xfId="0" applyFont="1" applyFill="1" applyBorder="1" applyAlignment="1">
      <alignment horizontal="right" readingOrder="2"/>
    </xf>
    <xf numFmtId="164" fontId="23" fillId="22" borderId="19" xfId="0" applyNumberFormat="1" applyFont="1" applyFill="1" applyBorder="1" applyAlignment="1">
      <alignment horizontal="center" vertical="center" wrapText="1"/>
    </xf>
    <xf numFmtId="164" fontId="23" fillId="22" borderId="19" xfId="0" applyNumberFormat="1" applyFont="1" applyFill="1" applyBorder="1" applyAlignment="1">
      <alignment horizontal="right" vertical="center" wrapText="1" readingOrder="2"/>
    </xf>
    <xf numFmtId="0" fontId="23" fillId="22" borderId="19" xfId="0" applyFont="1" applyFill="1" applyBorder="1" applyAlignment="1">
      <alignment horizontal="center" vertical="center" wrapText="1"/>
    </xf>
    <xf numFmtId="0" fontId="23" fillId="22" borderId="49" xfId="0" applyFont="1" applyFill="1" applyBorder="1" applyAlignment="1">
      <alignment horizontal="center" vertical="center" wrapText="1"/>
    </xf>
    <xf numFmtId="164" fontId="23" fillId="22" borderId="22" xfId="0" applyNumberFormat="1" applyFont="1" applyFill="1" applyBorder="1" applyAlignment="1">
      <alignment horizontal="center" vertical="center" wrapText="1"/>
    </xf>
    <xf numFmtId="164" fontId="23" fillId="22" borderId="22" xfId="0" applyNumberFormat="1" applyFont="1" applyFill="1" applyBorder="1" applyAlignment="1">
      <alignment horizontal="right" vertical="center" wrapText="1" readingOrder="2"/>
    </xf>
    <xf numFmtId="0" fontId="23" fillId="22" borderId="22" xfId="0" applyFont="1" applyFill="1" applyBorder="1" applyAlignment="1">
      <alignment horizontal="center" vertical="center" wrapText="1"/>
    </xf>
    <xf numFmtId="0" fontId="23" fillId="22" borderId="45" xfId="0" applyFont="1" applyFill="1" applyBorder="1" applyAlignment="1">
      <alignment horizontal="center" vertical="center" wrapText="1"/>
    </xf>
    <xf numFmtId="164" fontId="23" fillId="22" borderId="14" xfId="0" applyNumberFormat="1" applyFont="1" applyFill="1" applyBorder="1" applyAlignment="1">
      <alignment horizontal="center" vertical="center" wrapText="1"/>
    </xf>
    <xf numFmtId="164" fontId="23" fillId="22" borderId="14" xfId="0" applyNumberFormat="1" applyFont="1" applyFill="1" applyBorder="1" applyAlignment="1">
      <alignment horizontal="right" vertical="center" wrapText="1" readingOrder="2"/>
    </xf>
    <xf numFmtId="0" fontId="23" fillId="22" borderId="14" xfId="0" applyFont="1" applyFill="1" applyBorder="1" applyAlignment="1">
      <alignment horizontal="center" vertical="center" wrapText="1"/>
    </xf>
    <xf numFmtId="0" fontId="23" fillId="22" borderId="40" xfId="0" applyFont="1" applyFill="1" applyBorder="1" applyAlignment="1">
      <alignment horizontal="center" vertical="center" wrapText="1"/>
    </xf>
    <xf numFmtId="0" fontId="23" fillId="22" borderId="49" xfId="0" applyFont="1" applyFill="1" applyBorder="1" applyAlignment="1">
      <alignment horizontal="center" vertical="center" wrapText="1" readingOrder="2"/>
    </xf>
    <xf numFmtId="166" fontId="38" fillId="22" borderId="49" xfId="0" applyNumberFormat="1" applyFont="1" applyFill="1" applyBorder="1" applyAlignment="1">
      <alignment horizontal="center" vertical="center" wrapText="1"/>
    </xf>
    <xf numFmtId="166" fontId="38" fillId="22" borderId="45" xfId="0" applyNumberFormat="1" applyFont="1" applyFill="1" applyBorder="1" applyAlignment="1">
      <alignment horizontal="center" vertical="center" wrapText="1"/>
    </xf>
    <xf numFmtId="166" fontId="38" fillId="22" borderId="40" xfId="0" applyNumberFormat="1" applyFont="1" applyFill="1" applyBorder="1" applyAlignment="1">
      <alignment horizontal="center" vertical="center" wrapText="1"/>
    </xf>
    <xf numFmtId="166" fontId="38" fillId="22" borderId="14" xfId="0" applyNumberFormat="1" applyFont="1" applyFill="1" applyBorder="1" applyAlignment="1">
      <alignment horizontal="center" vertical="center" wrapText="1"/>
    </xf>
    <xf numFmtId="166" fontId="38" fillId="22" borderId="22" xfId="0" applyNumberFormat="1" applyFont="1" applyFill="1" applyBorder="1" applyAlignment="1">
      <alignment horizontal="center" vertical="center" wrapText="1"/>
    </xf>
    <xf numFmtId="166" fontId="38" fillId="22" borderId="49" xfId="0" applyNumberFormat="1" applyFont="1" applyFill="1" applyBorder="1" applyAlignment="1">
      <alignment horizontal="center" vertical="center" wrapText="1" readingOrder="2"/>
    </xf>
    <xf numFmtId="0" fontId="23" fillId="22" borderId="40" xfId="0" applyFont="1" applyFill="1" applyBorder="1" applyAlignment="1">
      <alignment horizontal="center" vertical="center" wrapText="1" readingOrder="2"/>
    </xf>
    <xf numFmtId="164" fontId="26" fillId="22" borderId="8" xfId="1" applyNumberFormat="1" applyFont="1" applyFill="1" applyBorder="1" applyAlignment="1" applyProtection="1">
      <alignment horizontal="center" vertical="center" wrapText="1"/>
    </xf>
    <xf numFmtId="164" fontId="26" fillId="22" borderId="9" xfId="1" applyNumberFormat="1" applyFont="1" applyFill="1" applyBorder="1" applyAlignment="1" applyProtection="1">
      <alignment horizontal="center" vertical="center" wrapText="1"/>
    </xf>
    <xf numFmtId="0" fontId="22" fillId="22" borderId="9" xfId="0" applyFont="1" applyFill="1" applyBorder="1" applyAlignment="1">
      <alignment horizontal="center" vertical="center" wrapText="1"/>
    </xf>
    <xf numFmtId="164" fontId="23" fillId="22" borderId="9" xfId="0" applyNumberFormat="1" applyFont="1" applyFill="1" applyBorder="1" applyAlignment="1">
      <alignment horizontal="center" vertical="center"/>
    </xf>
    <xf numFmtId="164" fontId="23" fillId="22" borderId="9" xfId="0" applyNumberFormat="1" applyFont="1" applyFill="1" applyBorder="1" applyAlignment="1">
      <alignment horizontal="right" vertical="center" readingOrder="2"/>
    </xf>
    <xf numFmtId="0" fontId="23" fillId="22" borderId="9" xfId="0" applyFont="1" applyFill="1" applyBorder="1" applyAlignment="1">
      <alignment horizontal="center" vertical="center" wrapText="1"/>
    </xf>
    <xf numFmtId="164" fontId="23" fillId="22" borderId="9" xfId="0" applyNumberFormat="1" applyFont="1" applyFill="1" applyBorder="1" applyAlignment="1">
      <alignment horizontal="center" vertical="center" wrapText="1"/>
    </xf>
    <xf numFmtId="0" fontId="23" fillId="22" borderId="48" xfId="0" applyFont="1" applyFill="1" applyBorder="1" applyAlignment="1">
      <alignment horizontal="center" vertical="center" wrapText="1" readingOrder="2"/>
    </xf>
    <xf numFmtId="0" fontId="22" fillId="22" borderId="19" xfId="0" applyFont="1" applyFill="1" applyBorder="1" applyAlignment="1">
      <alignment horizontal="center" vertical="center"/>
    </xf>
    <xf numFmtId="164" fontId="23" fillId="22" borderId="19" xfId="0" applyNumberFormat="1" applyFont="1" applyFill="1" applyBorder="1" applyAlignment="1">
      <alignment horizontal="center"/>
    </xf>
    <xf numFmtId="164" fontId="23" fillId="22" borderId="19" xfId="0" applyNumberFormat="1" applyFont="1" applyFill="1" applyBorder="1" applyAlignment="1">
      <alignment horizontal="right" readingOrder="2"/>
    </xf>
    <xf numFmtId="164" fontId="23" fillId="22" borderId="14" xfId="0" applyNumberFormat="1" applyFont="1" applyFill="1" applyBorder="1" applyAlignment="1">
      <alignment horizontal="center"/>
    </xf>
    <xf numFmtId="164" fontId="23" fillId="22" borderId="14" xfId="0" applyNumberFormat="1" applyFont="1" applyFill="1" applyBorder="1" applyAlignment="1">
      <alignment horizontal="right" readingOrder="2"/>
    </xf>
    <xf numFmtId="164" fontId="23" fillId="22" borderId="13" xfId="0" applyNumberFormat="1" applyFont="1" applyFill="1" applyBorder="1" applyAlignment="1">
      <alignment horizontal="center"/>
    </xf>
    <xf numFmtId="164" fontId="23" fillId="22" borderId="13" xfId="0" applyNumberFormat="1" applyFont="1" applyFill="1" applyBorder="1" applyAlignment="1">
      <alignment horizontal="right" readingOrder="2"/>
    </xf>
    <xf numFmtId="0" fontId="23" fillId="22" borderId="13" xfId="0" applyFont="1" applyFill="1" applyBorder="1" applyAlignment="1">
      <alignment horizontal="center" vertical="center" wrapText="1"/>
    </xf>
    <xf numFmtId="0" fontId="23" fillId="22" borderId="15" xfId="0" applyFont="1" applyFill="1" applyBorder="1" applyAlignment="1">
      <alignment horizontal="center" vertical="center" wrapText="1"/>
    </xf>
    <xf numFmtId="0" fontId="22" fillId="22" borderId="22" xfId="0" applyFont="1" applyFill="1" applyBorder="1" applyAlignment="1">
      <alignment horizontal="center" vertical="center" wrapText="1"/>
    </xf>
    <xf numFmtId="164" fontId="23" fillId="22" borderId="22" xfId="0" applyNumberFormat="1" applyFont="1" applyFill="1" applyBorder="1" applyAlignment="1">
      <alignment horizontal="center"/>
    </xf>
    <xf numFmtId="164" fontId="23" fillId="22" borderId="22" xfId="0" applyNumberFormat="1" applyFont="1" applyFill="1" applyBorder="1" applyAlignment="1">
      <alignment horizontal="right" readingOrder="2"/>
    </xf>
    <xf numFmtId="164" fontId="23" fillId="22" borderId="19" xfId="0" applyNumberFormat="1" applyFont="1" applyFill="1" applyBorder="1" applyAlignment="1">
      <alignment horizontal="center" vertical="center"/>
    </xf>
    <xf numFmtId="164" fontId="23" fillId="22" borderId="19" xfId="0" applyNumberFormat="1" applyFont="1" applyFill="1" applyBorder="1" applyAlignment="1">
      <alignment horizontal="right" vertical="center" readingOrder="2"/>
    </xf>
    <xf numFmtId="164" fontId="23" fillId="22" borderId="14" xfId="0" applyNumberFormat="1" applyFont="1" applyFill="1" applyBorder="1" applyAlignment="1">
      <alignment horizontal="center" vertical="center"/>
    </xf>
    <xf numFmtId="164" fontId="23" fillId="22" borderId="14" xfId="0" applyNumberFormat="1" applyFont="1" applyFill="1" applyBorder="1" applyAlignment="1">
      <alignment horizontal="right" vertical="center" readingOrder="2"/>
    </xf>
    <xf numFmtId="164" fontId="23" fillId="22" borderId="22" xfId="0" applyNumberFormat="1" applyFont="1" applyFill="1" applyBorder="1" applyAlignment="1">
      <alignment horizontal="center" vertical="center"/>
    </xf>
    <xf numFmtId="164" fontId="23" fillId="22" borderId="22" xfId="0" applyNumberFormat="1" applyFont="1" applyFill="1" applyBorder="1" applyAlignment="1">
      <alignment horizontal="right" vertical="center" readingOrder="2"/>
    </xf>
    <xf numFmtId="0" fontId="23" fillId="22" borderId="45" xfId="0" applyFont="1" applyFill="1" applyBorder="1" applyAlignment="1">
      <alignment horizontal="center" vertical="center" wrapText="1" readingOrder="2"/>
    </xf>
    <xf numFmtId="0" fontId="23" fillId="22" borderId="19" xfId="0" applyFont="1" applyFill="1" applyBorder="1" applyAlignment="1">
      <alignment horizontal="center" vertical="center"/>
    </xf>
    <xf numFmtId="164" fontId="23" fillId="22" borderId="18" xfId="0" applyNumberFormat="1" applyFont="1" applyFill="1" applyBorder="1" applyAlignment="1">
      <alignment horizontal="center" vertical="center" wrapText="1"/>
    </xf>
    <xf numFmtId="164" fontId="23" fillId="22" borderId="18" xfId="0" applyNumberFormat="1" applyFont="1" applyFill="1" applyBorder="1" applyAlignment="1">
      <alignment horizontal="right" vertical="center" wrapText="1" readingOrder="2"/>
    </xf>
    <xf numFmtId="0" fontId="23" fillId="22" borderId="18" xfId="0" applyFont="1" applyFill="1" applyBorder="1" applyAlignment="1">
      <alignment horizontal="center" vertical="center" wrapText="1"/>
    </xf>
    <xf numFmtId="0" fontId="23" fillId="22" borderId="38" xfId="0" applyFont="1" applyFill="1" applyBorder="1" applyAlignment="1">
      <alignment horizontal="center" vertical="center" wrapText="1" readingOrder="2"/>
    </xf>
    <xf numFmtId="164" fontId="23" fillId="22" borderId="9" xfId="0" applyNumberFormat="1" applyFont="1" applyFill="1" applyBorder="1" applyAlignment="1">
      <alignment horizontal="right" vertical="center" wrapText="1" readingOrder="2"/>
    </xf>
    <xf numFmtId="0" fontId="22" fillId="22" borderId="19" xfId="0" applyFont="1" applyFill="1" applyBorder="1" applyAlignment="1">
      <alignment horizontal="center" vertical="center" wrapText="1" readingOrder="2"/>
    </xf>
    <xf numFmtId="0" fontId="23" fillId="22" borderId="22" xfId="0" applyFont="1" applyFill="1" applyBorder="1" applyAlignment="1">
      <alignment horizontal="center" vertical="center"/>
    </xf>
    <xf numFmtId="164" fontId="23" fillId="22" borderId="18" xfId="0" applyNumberFormat="1" applyFont="1" applyFill="1" applyBorder="1" applyAlignment="1">
      <alignment horizontal="center" vertical="center"/>
    </xf>
    <xf numFmtId="164" fontId="23" fillId="22" borderId="18" xfId="0" applyNumberFormat="1" applyFont="1" applyFill="1" applyBorder="1" applyAlignment="1">
      <alignment horizontal="right" vertical="center" readingOrder="2"/>
    </xf>
    <xf numFmtId="164" fontId="23" fillId="22" borderId="13" xfId="0" applyNumberFormat="1" applyFont="1" applyFill="1" applyBorder="1" applyAlignment="1">
      <alignment horizontal="center" vertical="center"/>
    </xf>
    <xf numFmtId="164" fontId="23" fillId="22" borderId="13" xfId="0" applyNumberFormat="1" applyFont="1" applyFill="1" applyBorder="1" applyAlignment="1">
      <alignment horizontal="right" vertical="center" readingOrder="2"/>
    </xf>
    <xf numFmtId="0" fontId="23" fillId="22" borderId="15" xfId="0" applyFont="1" applyFill="1" applyBorder="1" applyAlignment="1">
      <alignment horizontal="center" vertical="center" wrapText="1" readingOrder="2"/>
    </xf>
    <xf numFmtId="0" fontId="22" fillId="22" borderId="18" xfId="0" applyFont="1" applyFill="1" applyBorder="1" applyAlignment="1">
      <alignment horizontal="center" vertical="center" wrapText="1"/>
    </xf>
    <xf numFmtId="0" fontId="23" fillId="22" borderId="18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2" fillId="22" borderId="14" xfId="0" applyFont="1" applyFill="1" applyBorder="1" applyAlignment="1">
      <alignment horizontal="center" vertical="center" wrapText="1"/>
    </xf>
    <xf numFmtId="0" fontId="23" fillId="22" borderId="37" xfId="0" applyFont="1" applyFill="1" applyBorder="1" applyAlignment="1">
      <alignment horizontal="center" vertical="center" wrapText="1"/>
    </xf>
    <xf numFmtId="0" fontId="23" fillId="22" borderId="57" xfId="0" applyFont="1" applyFill="1" applyBorder="1" applyAlignment="1">
      <alignment horizontal="center" vertical="center" wrapText="1"/>
    </xf>
    <xf numFmtId="164" fontId="23" fillId="22" borderId="17" xfId="0" applyNumberFormat="1" applyFont="1" applyFill="1" applyBorder="1" applyAlignment="1">
      <alignment horizontal="center" vertical="center"/>
    </xf>
    <xf numFmtId="164" fontId="23" fillId="22" borderId="17" xfId="0" applyNumberFormat="1" applyFont="1" applyFill="1" applyBorder="1" applyAlignment="1">
      <alignment horizontal="right" vertical="center" readingOrder="2"/>
    </xf>
    <xf numFmtId="0" fontId="22" fillId="22" borderId="13" xfId="0" applyFont="1" applyFill="1" applyBorder="1" applyAlignment="1">
      <alignment horizontal="center" vertical="center" wrapText="1"/>
    </xf>
    <xf numFmtId="164" fontId="23" fillId="22" borderId="13" xfId="0" applyNumberFormat="1" applyFont="1" applyFill="1" applyBorder="1" applyAlignment="1">
      <alignment horizontal="center" vertical="center" wrapText="1"/>
    </xf>
    <xf numFmtId="9" fontId="7" fillId="22" borderId="55" xfId="1" applyFont="1" applyFill="1" applyBorder="1" applyAlignment="1" applyProtection="1">
      <alignment horizontal="center" vertical="center" wrapText="1"/>
    </xf>
    <xf numFmtId="164" fontId="27" fillId="22" borderId="56" xfId="1" applyNumberFormat="1" applyFont="1" applyFill="1" applyBorder="1" applyAlignment="1" applyProtection="1">
      <alignment horizontal="center" vertical="center" wrapText="1"/>
    </xf>
    <xf numFmtId="9" fontId="7" fillId="22" borderId="56" xfId="1" applyFont="1" applyFill="1" applyBorder="1" applyAlignment="1" applyProtection="1">
      <alignment horizontal="center" vertical="center" wrapText="1"/>
    </xf>
    <xf numFmtId="165" fontId="25" fillId="22" borderId="61" xfId="1" applyNumberFormat="1" applyFont="1" applyFill="1" applyBorder="1" applyAlignment="1" applyProtection="1">
      <alignment horizontal="center" vertical="center" wrapText="1" readingOrder="2"/>
    </xf>
    <xf numFmtId="0" fontId="22" fillId="22" borderId="19" xfId="0" applyFont="1" applyFill="1" applyBorder="1" applyAlignment="1">
      <alignment horizontal="center" vertical="center" wrapText="1"/>
    </xf>
    <xf numFmtId="0" fontId="22" fillId="22" borderId="12" xfId="0" applyFont="1" applyFill="1" applyBorder="1" applyAlignment="1">
      <alignment horizontal="center" vertical="center" wrapText="1"/>
    </xf>
    <xf numFmtId="164" fontId="23" fillId="22" borderId="12" xfId="0" applyNumberFormat="1" applyFont="1" applyFill="1" applyBorder="1" applyAlignment="1">
      <alignment horizontal="center" vertical="center"/>
    </xf>
    <xf numFmtId="164" fontId="23" fillId="22" borderId="12" xfId="0" applyNumberFormat="1" applyFont="1" applyFill="1" applyBorder="1" applyAlignment="1">
      <alignment horizontal="right" vertical="center" readingOrder="2"/>
    </xf>
    <xf numFmtId="0" fontId="23" fillId="22" borderId="12" xfId="0" applyFont="1" applyFill="1" applyBorder="1" applyAlignment="1">
      <alignment horizontal="center" vertical="center" wrapText="1"/>
    </xf>
    <xf numFmtId="0" fontId="22" fillId="22" borderId="54" xfId="0" applyFont="1" applyFill="1" applyBorder="1" applyAlignment="1">
      <alignment horizontal="center" vertical="center" wrapText="1"/>
    </xf>
    <xf numFmtId="164" fontId="23" fillId="22" borderId="54" xfId="0" applyNumberFormat="1" applyFont="1" applyFill="1" applyBorder="1" applyAlignment="1">
      <alignment horizontal="center" vertical="center"/>
    </xf>
    <xf numFmtId="164" fontId="23" fillId="22" borderId="54" xfId="0" applyNumberFormat="1" applyFont="1" applyFill="1" applyBorder="1" applyAlignment="1">
      <alignment horizontal="right" vertical="center" readingOrder="2"/>
    </xf>
    <xf numFmtId="0" fontId="23" fillId="22" borderId="54" xfId="0" applyFont="1" applyFill="1" applyBorder="1" applyAlignment="1">
      <alignment horizontal="center" vertical="center" wrapText="1"/>
    </xf>
    <xf numFmtId="164" fontId="23" fillId="22" borderId="54" xfId="0" applyNumberFormat="1" applyFont="1" applyFill="1" applyBorder="1" applyAlignment="1">
      <alignment horizontal="center" vertical="center" wrapText="1"/>
    </xf>
    <xf numFmtId="0" fontId="23" fillId="22" borderId="59" xfId="0" applyFont="1" applyFill="1" applyBorder="1" applyAlignment="1">
      <alignment horizontal="center" vertical="center" wrapText="1" readingOrder="2"/>
    </xf>
    <xf numFmtId="166" fontId="38" fillId="22" borderId="19" xfId="0" applyNumberFormat="1" applyFont="1" applyFill="1" applyBorder="1" applyAlignment="1">
      <alignment horizontal="center" vertical="center" wrapText="1"/>
    </xf>
    <xf numFmtId="166" fontId="38" fillId="22" borderId="40" xfId="0" applyNumberFormat="1" applyFont="1" applyFill="1" applyBorder="1" applyAlignment="1">
      <alignment horizontal="center" vertical="center" wrapText="1" readingOrder="2"/>
    </xf>
    <xf numFmtId="166" fontId="38" fillId="22" borderId="48" xfId="0" applyNumberFormat="1" applyFont="1" applyFill="1" applyBorder="1" applyAlignment="1">
      <alignment horizontal="center" vertical="center" wrapText="1" readingOrder="2"/>
    </xf>
    <xf numFmtId="166" fontId="38" fillId="22" borderId="9" xfId="0" applyNumberFormat="1" applyFont="1" applyFill="1" applyBorder="1" applyAlignment="1">
      <alignment horizontal="center" vertical="center" wrapText="1"/>
    </xf>
    <xf numFmtId="166" fontId="38" fillId="22" borderId="15" xfId="0" applyNumberFormat="1" applyFont="1" applyFill="1" applyBorder="1" applyAlignment="1">
      <alignment horizontal="center" vertical="center" wrapText="1"/>
    </xf>
    <xf numFmtId="166" fontId="38" fillId="22" borderId="45" xfId="0" applyNumberFormat="1" applyFont="1" applyFill="1" applyBorder="1" applyAlignment="1">
      <alignment horizontal="center" vertical="center" wrapText="1" readingOrder="2"/>
    </xf>
    <xf numFmtId="166" fontId="38" fillId="22" borderId="38" xfId="0" applyNumberFormat="1" applyFont="1" applyFill="1" applyBorder="1" applyAlignment="1">
      <alignment horizontal="center" vertical="center" wrapText="1" readingOrder="2"/>
    </xf>
    <xf numFmtId="166" fontId="38" fillId="22" borderId="18" xfId="0" applyNumberFormat="1" applyFont="1" applyFill="1" applyBorder="1" applyAlignment="1">
      <alignment horizontal="center" vertical="center" wrapText="1"/>
    </xf>
    <xf numFmtId="166" fontId="38" fillId="22" borderId="19" xfId="0" applyNumberFormat="1" applyFont="1" applyFill="1" applyBorder="1" applyAlignment="1">
      <alignment horizontal="center" vertical="center"/>
    </xf>
    <xf numFmtId="166" fontId="38" fillId="22" borderId="22" xfId="0" applyNumberFormat="1" applyFont="1" applyFill="1" applyBorder="1" applyAlignment="1">
      <alignment horizontal="center" vertical="center"/>
    </xf>
    <xf numFmtId="166" fontId="38" fillId="22" borderId="15" xfId="0" applyNumberFormat="1" applyFont="1" applyFill="1" applyBorder="1" applyAlignment="1">
      <alignment horizontal="center" vertical="center" wrapText="1" readingOrder="2"/>
    </xf>
    <xf numFmtId="166" fontId="38" fillId="22" borderId="18" xfId="0" applyNumberFormat="1" applyFont="1" applyFill="1" applyBorder="1" applyAlignment="1">
      <alignment horizontal="center" vertical="center"/>
    </xf>
    <xf numFmtId="166" fontId="38" fillId="22" borderId="22" xfId="0" applyNumberFormat="1" applyFont="1" applyFill="1" applyBorder="1" applyAlignment="1">
      <alignment horizontal="center" vertical="center" wrapText="1" readingOrder="2"/>
    </xf>
    <xf numFmtId="166" fontId="38" fillId="22" borderId="13" xfId="0" applyNumberFormat="1" applyFont="1" applyFill="1" applyBorder="1" applyAlignment="1">
      <alignment horizontal="center" vertical="center" wrapText="1"/>
    </xf>
    <xf numFmtId="166" fontId="38" fillId="22" borderId="19" xfId="0" applyNumberFormat="1" applyFont="1" applyFill="1" applyBorder="1" applyAlignment="1">
      <alignment horizontal="center" vertical="center" wrapText="1" readingOrder="2"/>
    </xf>
    <xf numFmtId="166" fontId="38" fillId="22" borderId="13" xfId="0" applyNumberFormat="1" applyFont="1" applyFill="1" applyBorder="1" applyAlignment="1">
      <alignment horizontal="center" vertical="center" wrapText="1" readingOrder="2"/>
    </xf>
    <xf numFmtId="166" fontId="38" fillId="22" borderId="59" xfId="0" applyNumberFormat="1" applyFont="1" applyFill="1" applyBorder="1" applyAlignment="1">
      <alignment horizontal="center" vertical="center" wrapText="1" readingOrder="2"/>
    </xf>
    <xf numFmtId="166" fontId="38" fillId="22" borderId="54" xfId="0" applyNumberFormat="1" applyFont="1" applyFill="1" applyBorder="1" applyAlignment="1">
      <alignment horizontal="center" vertical="center" wrapText="1"/>
    </xf>
    <xf numFmtId="165" fontId="15" fillId="22" borderId="0" xfId="0" applyNumberFormat="1" applyFont="1" applyFill="1"/>
    <xf numFmtId="0" fontId="58" fillId="21" borderId="8" xfId="0" applyFont="1" applyFill="1" applyBorder="1" applyAlignment="1">
      <alignment horizontal="center" vertical="center" wrapText="1" readingOrder="2"/>
    </xf>
    <xf numFmtId="0" fontId="58" fillId="21" borderId="9" xfId="0" applyFont="1" applyFill="1" applyBorder="1" applyAlignment="1">
      <alignment horizontal="center" vertical="center" wrapText="1" readingOrder="2"/>
    </xf>
    <xf numFmtId="0" fontId="59" fillId="21" borderId="9" xfId="0" applyFont="1" applyFill="1" applyBorder="1" applyAlignment="1">
      <alignment horizontal="center" vertical="center" wrapText="1" readingOrder="2"/>
    </xf>
    <xf numFmtId="0" fontId="43" fillId="21" borderId="9" xfId="0" applyFont="1" applyFill="1" applyBorder="1" applyAlignment="1">
      <alignment horizontal="center" vertical="center" wrapText="1" readingOrder="2"/>
    </xf>
    <xf numFmtId="164" fontId="58" fillId="21" borderId="9" xfId="0" applyNumberFormat="1" applyFont="1" applyFill="1" applyBorder="1" applyAlignment="1">
      <alignment horizontal="center" vertical="center" wrapText="1" readingOrder="2"/>
    </xf>
    <xf numFmtId="164" fontId="58" fillId="21" borderId="10" xfId="0" applyNumberFormat="1" applyFont="1" applyFill="1" applyBorder="1" applyAlignment="1">
      <alignment horizontal="center" vertical="center" wrapText="1" readingOrder="2"/>
    </xf>
    <xf numFmtId="164" fontId="7" fillId="22" borderId="12" xfId="0" applyNumberFormat="1" applyFont="1" applyFill="1" applyBorder="1" applyAlignment="1">
      <alignment horizontal="center" vertical="center" wrapText="1" readingOrder="2"/>
    </xf>
    <xf numFmtId="164" fontId="7" fillId="22" borderId="13" xfId="0" applyNumberFormat="1" applyFont="1" applyFill="1" applyBorder="1" applyAlignment="1">
      <alignment horizontal="center" vertical="center" wrapText="1" readingOrder="2"/>
    </xf>
    <xf numFmtId="164" fontId="7" fillId="22" borderId="18" xfId="0" applyNumberFormat="1" applyFont="1" applyFill="1" applyBorder="1" applyAlignment="1">
      <alignment horizontal="center" vertical="center" readingOrder="2"/>
    </xf>
    <xf numFmtId="164" fontId="7" fillId="22" borderId="18" xfId="0" applyNumberFormat="1" applyFont="1" applyFill="1" applyBorder="1" applyAlignment="1">
      <alignment horizontal="center" vertical="center" wrapText="1" readingOrder="2"/>
    </xf>
    <xf numFmtId="164" fontId="30" fillId="22" borderId="12" xfId="0" applyNumberFormat="1" applyFont="1" applyFill="1" applyBorder="1" applyAlignment="1">
      <alignment horizontal="center" vertical="center" wrapText="1" readingOrder="2"/>
    </xf>
    <xf numFmtId="164" fontId="30" fillId="22" borderId="13" xfId="0" applyNumberFormat="1" applyFont="1" applyFill="1" applyBorder="1" applyAlignment="1">
      <alignment horizontal="center" vertical="center" wrapText="1" readingOrder="2"/>
    </xf>
    <xf numFmtId="164" fontId="30" fillId="22" borderId="14" xfId="0" applyNumberFormat="1" applyFont="1" applyFill="1" applyBorder="1" applyAlignment="1">
      <alignment horizontal="center" vertical="center" wrapText="1" readingOrder="2"/>
    </xf>
    <xf numFmtId="164" fontId="30" fillId="22" borderId="18" xfId="0" applyNumberFormat="1" applyFont="1" applyFill="1" applyBorder="1" applyAlignment="1">
      <alignment horizontal="center" vertical="center" wrapText="1" readingOrder="2"/>
    </xf>
    <xf numFmtId="164" fontId="7" fillId="22" borderId="22" xfId="0" applyNumberFormat="1" applyFont="1" applyFill="1" applyBorder="1" applyAlignment="1">
      <alignment horizontal="center" vertical="center" wrapText="1" readingOrder="2"/>
    </xf>
    <xf numFmtId="164" fontId="30" fillId="22" borderId="22" xfId="0" applyNumberFormat="1" applyFont="1" applyFill="1" applyBorder="1" applyAlignment="1">
      <alignment horizontal="center" vertical="center" wrapText="1" readingOrder="2"/>
    </xf>
    <xf numFmtId="164" fontId="7" fillId="22" borderId="14" xfId="0" applyNumberFormat="1" applyFont="1" applyFill="1" applyBorder="1" applyAlignment="1">
      <alignment horizontal="center" vertical="center" wrapText="1" readingOrder="2"/>
    </xf>
    <xf numFmtId="0" fontId="47" fillId="0" borderId="14" xfId="0" applyFont="1" applyBorder="1" applyAlignment="1" applyProtection="1">
      <alignment horizontal="right" vertical="center" wrapText="1" readingOrder="2"/>
      <protection locked="0"/>
    </xf>
    <xf numFmtId="0" fontId="47" fillId="0" borderId="14" xfId="0" applyFont="1" applyBorder="1" applyAlignment="1" applyProtection="1">
      <alignment vertical="center" wrapText="1" readingOrder="2"/>
      <protection locked="0"/>
    </xf>
    <xf numFmtId="0" fontId="47" fillId="4" borderId="22" xfId="0" applyFont="1" applyFill="1" applyBorder="1" applyAlignment="1" applyProtection="1">
      <alignment horizontal="right" vertical="center" wrapText="1" readingOrder="2"/>
      <protection locked="0"/>
    </xf>
    <xf numFmtId="164" fontId="23" fillId="22" borderId="11" xfId="0" applyNumberFormat="1" applyFont="1" applyFill="1" applyBorder="1" applyAlignment="1">
      <alignment horizontal="center" vertical="center" wrapText="1"/>
    </xf>
    <xf numFmtId="164" fontId="23" fillId="22" borderId="11" xfId="0" applyNumberFormat="1" applyFont="1" applyFill="1" applyBorder="1" applyAlignment="1">
      <alignment horizontal="right" vertical="center" wrapText="1" readingOrder="2"/>
    </xf>
    <xf numFmtId="0" fontId="23" fillId="22" borderId="11" xfId="0" applyFont="1" applyFill="1" applyBorder="1" applyAlignment="1">
      <alignment horizontal="center" vertical="center" wrapText="1"/>
    </xf>
    <xf numFmtId="0" fontId="23" fillId="22" borderId="35" xfId="0" applyFont="1" applyFill="1" applyBorder="1" applyAlignment="1">
      <alignment horizontal="center" vertical="center" wrapText="1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166" fontId="38" fillId="22" borderId="35" xfId="0" applyNumberFormat="1" applyFont="1" applyFill="1" applyBorder="1" applyAlignment="1">
      <alignment horizontal="center" vertical="center" wrapText="1"/>
    </xf>
    <xf numFmtId="0" fontId="58" fillId="21" borderId="8" xfId="0" applyFont="1" applyFill="1" applyBorder="1" applyAlignment="1">
      <alignment horizontal="center" vertical="center" wrapText="1"/>
    </xf>
    <xf numFmtId="0" fontId="58" fillId="21" borderId="9" xfId="0" applyFont="1" applyFill="1" applyBorder="1" applyAlignment="1">
      <alignment horizontal="center" vertical="center" wrapText="1"/>
    </xf>
    <xf numFmtId="165" fontId="58" fillId="21" borderId="9" xfId="0" applyNumberFormat="1" applyFont="1" applyFill="1" applyBorder="1" applyAlignment="1">
      <alignment horizontal="center" vertical="center" wrapText="1"/>
    </xf>
    <xf numFmtId="164" fontId="58" fillId="21" borderId="9" xfId="0" applyNumberFormat="1" applyFont="1" applyFill="1" applyBorder="1" applyAlignment="1">
      <alignment horizontal="center" vertical="center" wrapText="1"/>
    </xf>
    <xf numFmtId="0" fontId="43" fillId="21" borderId="9" xfId="0" applyFont="1" applyFill="1" applyBorder="1" applyAlignment="1">
      <alignment horizontal="center" vertical="center" wrapText="1"/>
    </xf>
    <xf numFmtId="166" fontId="58" fillId="21" borderId="9" xfId="0" applyNumberFormat="1" applyFont="1" applyFill="1" applyBorder="1" applyAlignment="1">
      <alignment horizontal="center" vertical="center" wrapText="1"/>
    </xf>
    <xf numFmtId="166" fontId="12" fillId="21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 readingOrder="2"/>
    </xf>
    <xf numFmtId="164" fontId="62" fillId="22" borderId="12" xfId="0" applyNumberFormat="1" applyFont="1" applyFill="1" applyBorder="1" applyAlignment="1">
      <alignment horizontal="center" vertical="center" wrapText="1" readingOrder="2"/>
    </xf>
    <xf numFmtId="164" fontId="62" fillId="22" borderId="12" xfId="0" applyNumberFormat="1" applyFont="1" applyFill="1" applyBorder="1" applyAlignment="1">
      <alignment horizontal="right" vertical="center" wrapText="1" readingOrder="2"/>
    </xf>
    <xf numFmtId="0" fontId="62" fillId="22" borderId="12" xfId="0" applyFont="1" applyFill="1" applyBorder="1" applyAlignment="1">
      <alignment horizontal="center" vertical="center" wrapText="1" readingOrder="2"/>
    </xf>
    <xf numFmtId="0" fontId="62" fillId="22" borderId="12" xfId="0" applyFont="1" applyFill="1" applyBorder="1" applyAlignment="1">
      <alignment horizontal="right" vertical="center" wrapText="1" readingOrder="2"/>
    </xf>
    <xf numFmtId="164" fontId="62" fillId="22" borderId="13" xfId="0" applyNumberFormat="1" applyFont="1" applyFill="1" applyBorder="1" applyAlignment="1">
      <alignment horizontal="center" vertical="center" wrapText="1" readingOrder="2"/>
    </xf>
    <xf numFmtId="164" fontId="62" fillId="22" borderId="13" xfId="0" applyNumberFormat="1" applyFont="1" applyFill="1" applyBorder="1" applyAlignment="1">
      <alignment horizontal="right" vertical="center" wrapText="1" readingOrder="2"/>
    </xf>
    <xf numFmtId="0" fontId="62" fillId="22" borderId="13" xfId="0" applyFont="1" applyFill="1" applyBorder="1" applyAlignment="1">
      <alignment horizontal="center" vertical="center" wrapText="1" readingOrder="2"/>
    </xf>
    <xf numFmtId="0" fontId="62" fillId="22" borderId="13" xfId="0" applyFont="1" applyFill="1" applyBorder="1" applyAlignment="1">
      <alignment horizontal="right" vertical="center" wrapText="1" readingOrder="2"/>
    </xf>
    <xf numFmtId="164" fontId="62" fillId="22" borderId="14" xfId="0" applyNumberFormat="1" applyFont="1" applyFill="1" applyBorder="1" applyAlignment="1">
      <alignment horizontal="center" vertical="center" wrapText="1" readingOrder="2"/>
    </xf>
    <xf numFmtId="164" fontId="62" fillId="22" borderId="14" xfId="0" applyNumberFormat="1" applyFont="1" applyFill="1" applyBorder="1" applyAlignment="1">
      <alignment horizontal="right" vertical="center" wrapText="1" readingOrder="2"/>
    </xf>
    <xf numFmtId="0" fontId="62" fillId="22" borderId="14" xfId="0" applyFont="1" applyFill="1" applyBorder="1" applyAlignment="1">
      <alignment horizontal="center" vertical="center" wrapText="1" readingOrder="2"/>
    </xf>
    <xf numFmtId="0" fontId="62" fillId="22" borderId="14" xfId="0" applyFont="1" applyFill="1" applyBorder="1" applyAlignment="1">
      <alignment horizontal="right" vertical="center" wrapText="1" readingOrder="2"/>
    </xf>
    <xf numFmtId="164" fontId="62" fillId="22" borderId="18" xfId="0" applyNumberFormat="1" applyFont="1" applyFill="1" applyBorder="1" applyAlignment="1">
      <alignment horizontal="center" vertical="center" wrapText="1" readingOrder="2"/>
    </xf>
    <xf numFmtId="164" fontId="62" fillId="22" borderId="18" xfId="0" applyNumberFormat="1" applyFont="1" applyFill="1" applyBorder="1" applyAlignment="1">
      <alignment horizontal="right" vertical="center" wrapText="1" readingOrder="2"/>
    </xf>
    <xf numFmtId="0" fontId="62" fillId="22" borderId="18" xfId="0" applyFont="1" applyFill="1" applyBorder="1" applyAlignment="1">
      <alignment horizontal="center" vertical="center" wrapText="1" readingOrder="2"/>
    </xf>
    <xf numFmtId="0" fontId="62" fillId="22" borderId="18" xfId="0" applyFont="1" applyFill="1" applyBorder="1" applyAlignment="1">
      <alignment horizontal="right" vertical="center" wrapText="1" readingOrder="2"/>
    </xf>
    <xf numFmtId="164" fontId="62" fillId="22" borderId="22" xfId="0" applyNumberFormat="1" applyFont="1" applyFill="1" applyBorder="1" applyAlignment="1">
      <alignment horizontal="center" vertical="center" wrapText="1" readingOrder="2"/>
    </xf>
    <xf numFmtId="164" fontId="62" fillId="22" borderId="22" xfId="0" applyNumberFormat="1" applyFont="1" applyFill="1" applyBorder="1" applyAlignment="1">
      <alignment horizontal="right" vertical="center" wrapText="1" readingOrder="2"/>
    </xf>
    <xf numFmtId="0" fontId="62" fillId="22" borderId="22" xfId="0" applyFont="1" applyFill="1" applyBorder="1" applyAlignment="1">
      <alignment horizontal="center" vertical="center" wrapText="1" readingOrder="2"/>
    </xf>
    <xf numFmtId="0" fontId="62" fillId="22" borderId="22" xfId="0" applyFont="1" applyFill="1" applyBorder="1" applyAlignment="1">
      <alignment horizontal="right" vertical="center" wrapText="1" readingOrder="2"/>
    </xf>
    <xf numFmtId="0" fontId="63" fillId="22" borderId="7" xfId="0" applyFont="1" applyFill="1" applyBorder="1" applyAlignment="1">
      <alignment horizontal="center" vertical="center"/>
    </xf>
    <xf numFmtId="0" fontId="13" fillId="21" borderId="13" xfId="0" applyFont="1" applyFill="1" applyBorder="1" applyAlignment="1">
      <alignment horizontal="center" vertical="center"/>
    </xf>
    <xf numFmtId="0" fontId="64" fillId="21" borderId="13" xfId="0" applyFont="1" applyFill="1" applyBorder="1" applyAlignment="1">
      <alignment horizontal="center" vertical="center"/>
    </xf>
    <xf numFmtId="165" fontId="20" fillId="22" borderId="13" xfId="1" applyNumberFormat="1" applyFont="1" applyFill="1" applyBorder="1" applyAlignment="1">
      <alignment horizontal="center" vertical="center" readingOrder="2"/>
    </xf>
    <xf numFmtId="164" fontId="23" fillId="22" borderId="19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13" xfId="0" applyFont="1" applyFill="1" applyBorder="1" applyAlignment="1">
      <alignment horizontal="center" vertical="center" wrapText="1" readingOrder="2"/>
    </xf>
    <xf numFmtId="0" fontId="22" fillId="10" borderId="22" xfId="0" applyFont="1" applyFill="1" applyBorder="1" applyAlignment="1">
      <alignment horizontal="center" vertical="center" wrapText="1" readingOrder="2"/>
    </xf>
    <xf numFmtId="164" fontId="22" fillId="10" borderId="13" xfId="0" applyNumberFormat="1" applyFont="1" applyFill="1" applyBorder="1" applyAlignment="1">
      <alignment horizontal="center" vertical="center" wrapText="1" readingOrder="2"/>
    </xf>
    <xf numFmtId="164" fontId="22" fillId="10" borderId="22" xfId="0" applyNumberFormat="1" applyFont="1" applyFill="1" applyBorder="1" applyAlignment="1">
      <alignment horizontal="center" vertical="center" wrapText="1" readingOrder="2"/>
    </xf>
    <xf numFmtId="164" fontId="23" fillId="5" borderId="13" xfId="0" applyNumberFormat="1" applyFont="1" applyFill="1" applyBorder="1" applyAlignment="1">
      <alignment horizontal="center" vertical="center" readingOrder="2"/>
    </xf>
    <xf numFmtId="164" fontId="23" fillId="5" borderId="22" xfId="0" applyNumberFormat="1" applyFont="1" applyFill="1" applyBorder="1" applyAlignment="1">
      <alignment horizontal="center" vertical="center" readingOrder="2"/>
    </xf>
    <xf numFmtId="0" fontId="23" fillId="5" borderId="13" xfId="0" applyFont="1" applyFill="1" applyBorder="1" applyAlignment="1">
      <alignment horizontal="center" vertical="center" wrapText="1" readingOrder="2"/>
    </xf>
    <xf numFmtId="0" fontId="23" fillId="5" borderId="22" xfId="0" applyFont="1" applyFill="1" applyBorder="1" applyAlignment="1">
      <alignment horizontal="center" vertical="center" wrapText="1" readingOrder="2"/>
    </xf>
    <xf numFmtId="164" fontId="23" fillId="5" borderId="13" xfId="0" applyNumberFormat="1" applyFont="1" applyFill="1" applyBorder="1" applyAlignment="1">
      <alignment horizontal="center" vertical="center" wrapText="1" readingOrder="2"/>
    </xf>
    <xf numFmtId="164" fontId="23" fillId="5" borderId="22" xfId="0" applyNumberFormat="1" applyFont="1" applyFill="1" applyBorder="1" applyAlignment="1">
      <alignment horizontal="center" vertical="center" wrapText="1" readingOrder="2"/>
    </xf>
    <xf numFmtId="164" fontId="23" fillId="0" borderId="18" xfId="0" applyNumberFormat="1" applyFont="1" applyBorder="1" applyAlignment="1" applyProtection="1">
      <alignment horizontal="center" vertical="center" wrapText="1" readingOrder="2"/>
      <protection locked="0"/>
    </xf>
    <xf numFmtId="164" fontId="23" fillId="0" borderId="13" xfId="0" applyNumberFormat="1" applyFont="1" applyBorder="1" applyAlignment="1" applyProtection="1">
      <alignment horizontal="center" vertical="center" wrapText="1" readingOrder="2"/>
      <protection locked="0"/>
    </xf>
    <xf numFmtId="164" fontId="22" fillId="5" borderId="18" xfId="0" applyNumberFormat="1" applyFont="1" applyFill="1" applyBorder="1" applyAlignment="1">
      <alignment horizontal="center" vertical="center" wrapText="1" readingOrder="2"/>
    </xf>
    <xf numFmtId="164" fontId="22" fillId="5" borderId="13" xfId="0" applyNumberFormat="1" applyFont="1" applyFill="1" applyBorder="1" applyAlignment="1">
      <alignment horizontal="center" vertical="center" wrapText="1" readingOrder="2"/>
    </xf>
    <xf numFmtId="164" fontId="22" fillId="10" borderId="5" xfId="0" applyNumberFormat="1" applyFont="1" applyFill="1" applyBorder="1" applyAlignment="1">
      <alignment horizontal="center" vertical="center" wrapText="1" readingOrder="2"/>
    </xf>
    <xf numFmtId="164" fontId="22" fillId="10" borderId="0" xfId="0" applyNumberFormat="1" applyFont="1" applyFill="1" applyAlignment="1">
      <alignment horizontal="center" vertical="center" wrapText="1" readingOrder="2"/>
    </xf>
    <xf numFmtId="164" fontId="22" fillId="10" borderId="34" xfId="0" applyNumberFormat="1" applyFont="1" applyFill="1" applyBorder="1" applyAlignment="1">
      <alignment horizontal="center" vertical="center" wrapText="1" readingOrder="2"/>
    </xf>
    <xf numFmtId="164" fontId="23" fillId="5" borderId="18" xfId="0" applyNumberFormat="1" applyFont="1" applyFill="1" applyBorder="1" applyAlignment="1">
      <alignment horizontal="center" vertical="center" readingOrder="2"/>
    </xf>
    <xf numFmtId="164" fontId="23" fillId="5" borderId="14" xfId="0" applyNumberFormat="1" applyFont="1" applyFill="1" applyBorder="1" applyAlignment="1">
      <alignment horizontal="center" vertical="center" readingOrder="2"/>
    </xf>
    <xf numFmtId="0" fontId="23" fillId="5" borderId="18" xfId="0" applyFont="1" applyFill="1" applyBorder="1" applyAlignment="1">
      <alignment horizontal="center" vertical="center" wrapText="1" readingOrder="2"/>
    </xf>
    <xf numFmtId="0" fontId="23" fillId="5" borderId="14" xfId="0" applyFont="1" applyFill="1" applyBorder="1" applyAlignment="1">
      <alignment horizontal="center" vertical="center" wrapText="1" readingOrder="2"/>
    </xf>
    <xf numFmtId="164" fontId="23" fillId="5" borderId="18" xfId="0" applyNumberFormat="1" applyFont="1" applyFill="1" applyBorder="1" applyAlignment="1">
      <alignment horizontal="center" vertical="center" wrapText="1" readingOrder="2"/>
    </xf>
    <xf numFmtId="164" fontId="23" fillId="5" borderId="31" xfId="0" applyNumberFormat="1" applyFont="1" applyFill="1" applyBorder="1" applyAlignment="1">
      <alignment horizontal="center" vertical="center" wrapText="1" readingOrder="2"/>
    </xf>
    <xf numFmtId="164" fontId="23" fillId="0" borderId="22" xfId="0" applyNumberFormat="1" applyFont="1" applyBorder="1" applyAlignment="1" applyProtection="1">
      <alignment horizontal="center" vertical="center" wrapText="1" readingOrder="2"/>
      <protection locked="0"/>
    </xf>
    <xf numFmtId="164" fontId="22" fillId="5" borderId="22" xfId="0" applyNumberFormat="1" applyFont="1" applyFill="1" applyBorder="1" applyAlignment="1">
      <alignment horizontal="center" vertical="center" wrapText="1" readingOrder="2"/>
    </xf>
    <xf numFmtId="0" fontId="23" fillId="5" borderId="13" xfId="0" applyFont="1" applyFill="1" applyBorder="1" applyAlignment="1">
      <alignment horizontal="center" vertical="center" readingOrder="2"/>
    </xf>
    <xf numFmtId="164" fontId="22" fillId="9" borderId="18" xfId="1" applyNumberFormat="1" applyFont="1" applyFill="1" applyBorder="1" applyAlignment="1">
      <alignment horizontal="center" vertical="center" wrapText="1" readingOrder="2"/>
    </xf>
    <xf numFmtId="164" fontId="22" fillId="9" borderId="13" xfId="1" applyNumberFormat="1" applyFont="1" applyFill="1" applyBorder="1" applyAlignment="1">
      <alignment horizontal="center" vertical="center" wrapText="1" readingOrder="2"/>
    </xf>
    <xf numFmtId="164" fontId="22" fillId="9" borderId="22" xfId="1" applyNumberFormat="1" applyFont="1" applyFill="1" applyBorder="1" applyAlignment="1">
      <alignment horizontal="center" vertical="center" wrapText="1" readingOrder="2"/>
    </xf>
    <xf numFmtId="164" fontId="22" fillId="10" borderId="20" xfId="1" applyNumberFormat="1" applyFont="1" applyFill="1" applyBorder="1" applyAlignment="1">
      <alignment horizontal="center" vertical="center" wrapText="1" readingOrder="2"/>
    </xf>
    <xf numFmtId="164" fontId="22" fillId="10" borderId="21" xfId="1" applyNumberFormat="1" applyFont="1" applyFill="1" applyBorder="1" applyAlignment="1">
      <alignment horizontal="center" vertical="center" wrapText="1" readingOrder="2"/>
    </xf>
    <xf numFmtId="164" fontId="22" fillId="10" borderId="23" xfId="1" applyNumberFormat="1" applyFont="1" applyFill="1" applyBorder="1" applyAlignment="1">
      <alignment horizontal="center" vertical="center" wrapText="1" readingOrder="2"/>
    </xf>
    <xf numFmtId="0" fontId="23" fillId="9" borderId="13" xfId="0" applyFont="1" applyFill="1" applyBorder="1" applyAlignment="1">
      <alignment horizontal="center" vertical="center" readingOrder="2"/>
    </xf>
    <xf numFmtId="0" fontId="23" fillId="9" borderId="22" xfId="0" applyFont="1" applyFill="1" applyBorder="1" applyAlignment="1">
      <alignment horizontal="center" vertical="center" readingOrder="2"/>
    </xf>
    <xf numFmtId="9" fontId="7" fillId="10" borderId="24" xfId="1" applyFont="1" applyFill="1" applyBorder="1" applyAlignment="1">
      <alignment horizontal="center" vertical="center" wrapText="1" readingOrder="2"/>
    </xf>
    <xf numFmtId="9" fontId="7" fillId="10" borderId="25" xfId="1" applyFont="1" applyFill="1" applyBorder="1" applyAlignment="1">
      <alignment horizontal="center" vertical="center" wrapText="1" readingOrder="2"/>
    </xf>
    <xf numFmtId="9" fontId="7" fillId="10" borderId="26" xfId="1" applyFont="1" applyFill="1" applyBorder="1" applyAlignment="1">
      <alignment horizontal="center" vertical="center" wrapText="1" readingOrder="2"/>
    </xf>
    <xf numFmtId="164" fontId="38" fillId="10" borderId="18" xfId="1" applyNumberFormat="1" applyFont="1" applyFill="1" applyBorder="1" applyAlignment="1">
      <alignment horizontal="center" vertical="center" wrapText="1" readingOrder="2"/>
    </xf>
    <xf numFmtId="164" fontId="38" fillId="10" borderId="13" xfId="1" applyNumberFormat="1" applyFont="1" applyFill="1" applyBorder="1" applyAlignment="1">
      <alignment horizontal="center" vertical="center" wrapText="1" readingOrder="2"/>
    </xf>
    <xf numFmtId="164" fontId="38" fillId="10" borderId="22" xfId="1" applyNumberFormat="1" applyFont="1" applyFill="1" applyBorder="1" applyAlignment="1">
      <alignment horizontal="center" vertical="center" wrapText="1" readingOrder="2"/>
    </xf>
    <xf numFmtId="9" fontId="7" fillId="10" borderId="18" xfId="1" applyFont="1" applyFill="1" applyBorder="1" applyAlignment="1">
      <alignment horizontal="center" vertical="center" wrapText="1" readingOrder="2"/>
    </xf>
    <xf numFmtId="9" fontId="7" fillId="10" borderId="13" xfId="1" applyFont="1" applyFill="1" applyBorder="1" applyAlignment="1">
      <alignment horizontal="center" vertical="center" wrapText="1" readingOrder="2"/>
    </xf>
    <xf numFmtId="9" fontId="7" fillId="10" borderId="22" xfId="1" applyFont="1" applyFill="1" applyBorder="1" applyAlignment="1">
      <alignment horizontal="center" vertical="center" wrapText="1" readingOrder="2"/>
    </xf>
    <xf numFmtId="165" fontId="22" fillId="10" borderId="18" xfId="1" applyNumberFormat="1" applyFont="1" applyFill="1" applyBorder="1" applyAlignment="1">
      <alignment horizontal="center" vertical="center" wrapText="1" readingOrder="2"/>
    </xf>
    <xf numFmtId="165" fontId="22" fillId="10" borderId="13" xfId="1" applyNumberFormat="1" applyFont="1" applyFill="1" applyBorder="1" applyAlignment="1">
      <alignment horizontal="center" vertical="center" wrapText="1" readingOrder="2"/>
    </xf>
    <xf numFmtId="165" fontId="22" fillId="10" borderId="22" xfId="1" applyNumberFormat="1" applyFont="1" applyFill="1" applyBorder="1" applyAlignment="1">
      <alignment horizontal="center" vertical="center" wrapText="1" readingOrder="2"/>
    </xf>
    <xf numFmtId="164" fontId="22" fillId="10" borderId="18" xfId="1" applyNumberFormat="1" applyFont="1" applyFill="1" applyBorder="1" applyAlignment="1">
      <alignment horizontal="center" vertical="center" wrapText="1" readingOrder="2"/>
    </xf>
    <xf numFmtId="164" fontId="22" fillId="10" borderId="13" xfId="1" applyNumberFormat="1" applyFont="1" applyFill="1" applyBorder="1" applyAlignment="1">
      <alignment horizontal="center" vertical="center" wrapText="1" readingOrder="2"/>
    </xf>
    <xf numFmtId="164" fontId="22" fillId="10" borderId="22" xfId="1" applyNumberFormat="1" applyFont="1" applyFill="1" applyBorder="1" applyAlignment="1">
      <alignment horizontal="center" vertical="center" wrapText="1" readingOrder="2"/>
    </xf>
    <xf numFmtId="164" fontId="22" fillId="10" borderId="15" xfId="1" applyNumberFormat="1" applyFont="1" applyFill="1" applyBorder="1" applyAlignment="1">
      <alignment horizontal="center" vertical="center" wrapText="1" readingOrder="2"/>
    </xf>
    <xf numFmtId="0" fontId="22" fillId="10" borderId="18" xfId="0" applyFont="1" applyFill="1" applyBorder="1" applyAlignment="1">
      <alignment horizontal="center" vertical="center" wrapText="1" readingOrder="2"/>
    </xf>
    <xf numFmtId="0" fontId="22" fillId="10" borderId="14" xfId="0" applyFont="1" applyFill="1" applyBorder="1" applyAlignment="1">
      <alignment horizontal="center" vertical="center" wrapText="1" readingOrder="2"/>
    </xf>
    <xf numFmtId="0" fontId="23" fillId="9" borderId="18" xfId="0" applyFont="1" applyFill="1" applyBorder="1" applyAlignment="1">
      <alignment horizontal="center" vertical="center" wrapText="1" readingOrder="2"/>
    </xf>
    <xf numFmtId="0" fontId="23" fillId="9" borderId="13" xfId="0" applyFont="1" applyFill="1" applyBorder="1" applyAlignment="1">
      <alignment horizontal="center" vertical="center" wrapText="1" readingOrder="2"/>
    </xf>
    <xf numFmtId="0" fontId="23" fillId="9" borderId="22" xfId="0" applyFont="1" applyFill="1" applyBorder="1" applyAlignment="1">
      <alignment horizontal="center" vertical="center" wrapText="1" readingOrder="2"/>
    </xf>
    <xf numFmtId="164" fontId="23" fillId="9" borderId="18" xfId="0" applyNumberFormat="1" applyFont="1" applyFill="1" applyBorder="1" applyAlignment="1">
      <alignment horizontal="center" vertical="center" wrapText="1" readingOrder="2"/>
    </xf>
    <xf numFmtId="164" fontId="23" fillId="9" borderId="13" xfId="0" applyNumberFormat="1" applyFont="1" applyFill="1" applyBorder="1" applyAlignment="1">
      <alignment horizontal="center" vertical="center" wrapText="1" readingOrder="2"/>
    </xf>
    <xf numFmtId="164" fontId="23" fillId="9" borderId="22" xfId="0" applyNumberFormat="1" applyFont="1" applyFill="1" applyBorder="1" applyAlignment="1">
      <alignment horizontal="center" vertical="center" wrapText="1" readingOrder="2"/>
    </xf>
    <xf numFmtId="164" fontId="22" fillId="9" borderId="18" xfId="0" applyNumberFormat="1" applyFont="1" applyFill="1" applyBorder="1" applyAlignment="1">
      <alignment horizontal="center" vertical="center" wrapText="1" readingOrder="2"/>
    </xf>
    <xf numFmtId="164" fontId="22" fillId="9" borderId="13" xfId="0" applyNumberFormat="1" applyFont="1" applyFill="1" applyBorder="1" applyAlignment="1">
      <alignment horizontal="center" vertical="center" wrapText="1" readingOrder="2"/>
    </xf>
    <xf numFmtId="164" fontId="22" fillId="9" borderId="22" xfId="0" applyNumberFormat="1" applyFont="1" applyFill="1" applyBorder="1" applyAlignment="1">
      <alignment horizontal="center" vertical="center" wrapText="1" readingOrder="2"/>
    </xf>
    <xf numFmtId="164" fontId="22" fillId="5" borderId="18" xfId="1" applyNumberFormat="1" applyFont="1" applyFill="1" applyBorder="1" applyAlignment="1">
      <alignment horizontal="center" vertical="center" wrapText="1" readingOrder="2"/>
    </xf>
    <xf numFmtId="164" fontId="22" fillId="5" borderId="13" xfId="1" applyNumberFormat="1" applyFont="1" applyFill="1" applyBorder="1" applyAlignment="1">
      <alignment horizontal="center" vertical="center" wrapText="1" readingOrder="2"/>
    </xf>
    <xf numFmtId="164" fontId="22" fillId="5" borderId="16" xfId="1" applyNumberFormat="1" applyFont="1" applyFill="1" applyBorder="1" applyAlignment="1">
      <alignment horizontal="center" vertical="center" wrapText="1" readingOrder="2"/>
    </xf>
    <xf numFmtId="164" fontId="22" fillId="5" borderId="22" xfId="1" applyNumberFormat="1" applyFont="1" applyFill="1" applyBorder="1" applyAlignment="1">
      <alignment horizontal="center" vertical="center" wrapText="1" readingOrder="2"/>
    </xf>
    <xf numFmtId="0" fontId="23" fillId="5" borderId="14" xfId="0" applyFont="1" applyFill="1" applyBorder="1" applyAlignment="1">
      <alignment horizontal="center" vertical="center" readingOrder="2"/>
    </xf>
    <xf numFmtId="0" fontId="23" fillId="5" borderId="40" xfId="0" applyFont="1" applyFill="1" applyBorder="1" applyAlignment="1">
      <alignment horizontal="center" vertical="center" readingOrder="2"/>
    </xf>
    <xf numFmtId="0" fontId="23" fillId="10" borderId="12" xfId="0" applyFont="1" applyFill="1" applyBorder="1" applyAlignment="1">
      <alignment horizontal="center" vertical="center" wrapText="1" readingOrder="2"/>
    </xf>
    <xf numFmtId="0" fontId="23" fillId="10" borderId="13" xfId="0" applyFont="1" applyFill="1" applyBorder="1" applyAlignment="1">
      <alignment horizontal="center" vertical="center" wrapText="1" readingOrder="2"/>
    </xf>
    <xf numFmtId="0" fontId="23" fillId="5" borderId="12" xfId="0" applyFont="1" applyFill="1" applyBorder="1" applyAlignment="1">
      <alignment horizontal="center" vertical="center" wrapText="1" readingOrder="2"/>
    </xf>
    <xf numFmtId="165" fontId="22" fillId="10" borderId="15" xfId="1" applyNumberFormat="1" applyFont="1" applyFill="1" applyBorder="1" applyAlignment="1">
      <alignment horizontal="center" vertical="center" wrapText="1" readingOrder="2"/>
    </xf>
    <xf numFmtId="164" fontId="22" fillId="10" borderId="14" xfId="1" applyNumberFormat="1" applyFont="1" applyFill="1" applyBorder="1" applyAlignment="1">
      <alignment horizontal="center" vertical="center" wrapText="1" readingOrder="2"/>
    </xf>
    <xf numFmtId="164" fontId="22" fillId="10" borderId="12" xfId="1" applyNumberFormat="1" applyFont="1" applyFill="1" applyBorder="1" applyAlignment="1">
      <alignment horizontal="center" vertical="center" wrapText="1" readingOrder="2"/>
    </xf>
    <xf numFmtId="9" fontId="7" fillId="12" borderId="24" xfId="1" applyFont="1" applyFill="1" applyBorder="1" applyAlignment="1">
      <alignment horizontal="center" vertical="center" wrapText="1" readingOrder="2"/>
    </xf>
    <xf numFmtId="9" fontId="7" fillId="12" borderId="25" xfId="1" applyFont="1" applyFill="1" applyBorder="1" applyAlignment="1">
      <alignment horizontal="center" vertical="center" wrapText="1" readingOrder="2"/>
    </xf>
    <xf numFmtId="9" fontId="7" fillId="12" borderId="26" xfId="1" applyFont="1" applyFill="1" applyBorder="1" applyAlignment="1">
      <alignment horizontal="center" vertical="center" wrapText="1" readingOrder="2"/>
    </xf>
    <xf numFmtId="164" fontId="38" fillId="12" borderId="18" xfId="1" applyNumberFormat="1" applyFont="1" applyFill="1" applyBorder="1" applyAlignment="1">
      <alignment horizontal="center" vertical="center" wrapText="1" readingOrder="2"/>
    </xf>
    <xf numFmtId="164" fontId="38" fillId="12" borderId="13" xfId="1" applyNumberFormat="1" applyFont="1" applyFill="1" applyBorder="1" applyAlignment="1">
      <alignment horizontal="center" vertical="center" wrapText="1" readingOrder="2"/>
    </xf>
    <xf numFmtId="164" fontId="38" fillId="12" borderId="22" xfId="1" applyNumberFormat="1" applyFont="1" applyFill="1" applyBorder="1" applyAlignment="1">
      <alignment horizontal="center" vertical="center" wrapText="1" readingOrder="2"/>
    </xf>
    <xf numFmtId="9" fontId="7" fillId="12" borderId="18" xfId="1" applyFont="1" applyFill="1" applyBorder="1" applyAlignment="1">
      <alignment horizontal="center" vertical="center" wrapText="1" readingOrder="2"/>
    </xf>
    <xf numFmtId="9" fontId="7" fillId="12" borderId="13" xfId="1" applyFont="1" applyFill="1" applyBorder="1" applyAlignment="1">
      <alignment horizontal="center" vertical="center" wrapText="1" readingOrder="2"/>
    </xf>
    <xf numFmtId="9" fontId="7" fillId="12" borderId="22" xfId="1" applyFont="1" applyFill="1" applyBorder="1" applyAlignment="1">
      <alignment horizontal="center" vertical="center" wrapText="1" readingOrder="2"/>
    </xf>
    <xf numFmtId="165" fontId="22" fillId="12" borderId="18" xfId="1" applyNumberFormat="1" applyFont="1" applyFill="1" applyBorder="1" applyAlignment="1">
      <alignment horizontal="center" vertical="center" wrapText="1" readingOrder="2"/>
    </xf>
    <xf numFmtId="165" fontId="22" fillId="12" borderId="13" xfId="1" applyNumberFormat="1" applyFont="1" applyFill="1" applyBorder="1" applyAlignment="1">
      <alignment horizontal="center" vertical="center" wrapText="1" readingOrder="2"/>
    </xf>
    <xf numFmtId="165" fontId="22" fillId="12" borderId="22" xfId="1" applyNumberFormat="1" applyFont="1" applyFill="1" applyBorder="1" applyAlignment="1">
      <alignment horizontal="center" vertical="center" wrapText="1" readingOrder="2"/>
    </xf>
    <xf numFmtId="164" fontId="22" fillId="12" borderId="18" xfId="1" applyNumberFormat="1" applyFont="1" applyFill="1" applyBorder="1" applyAlignment="1">
      <alignment horizontal="center" vertical="center" wrapText="1" readingOrder="2"/>
    </xf>
    <xf numFmtId="164" fontId="22" fillId="12" borderId="13" xfId="1" applyNumberFormat="1" applyFont="1" applyFill="1" applyBorder="1" applyAlignment="1">
      <alignment horizontal="center" vertical="center" wrapText="1" readingOrder="2"/>
    </xf>
    <xf numFmtId="164" fontId="22" fillId="12" borderId="22" xfId="1" applyNumberFormat="1" applyFont="1" applyFill="1" applyBorder="1" applyAlignment="1">
      <alignment horizontal="center" vertical="center" wrapText="1" readingOrder="2"/>
    </xf>
    <xf numFmtId="0" fontId="22" fillId="12" borderId="18" xfId="0" applyFont="1" applyFill="1" applyBorder="1" applyAlignment="1">
      <alignment horizontal="center" vertical="center" wrapText="1" readingOrder="2"/>
    </xf>
    <xf numFmtId="0" fontId="22" fillId="12" borderId="13" xfId="0" applyFont="1" applyFill="1" applyBorder="1" applyAlignment="1">
      <alignment horizontal="center" vertical="center" wrapText="1" readingOrder="2"/>
    </xf>
    <xf numFmtId="164" fontId="22" fillId="12" borderId="18" xfId="0" applyNumberFormat="1" applyFont="1" applyFill="1" applyBorder="1" applyAlignment="1">
      <alignment horizontal="center" vertical="center" wrapText="1" readingOrder="2"/>
    </xf>
    <xf numFmtId="164" fontId="22" fillId="12" borderId="13" xfId="0" applyNumberFormat="1" applyFont="1" applyFill="1" applyBorder="1" applyAlignment="1">
      <alignment horizontal="center" vertical="center" wrapText="1" readingOrder="2"/>
    </xf>
    <xf numFmtId="164" fontId="22" fillId="12" borderId="22" xfId="0" applyNumberFormat="1" applyFont="1" applyFill="1" applyBorder="1" applyAlignment="1">
      <alignment horizontal="center" vertical="center" wrapText="1" readingOrder="2"/>
    </xf>
    <xf numFmtId="164" fontId="23" fillId="9" borderId="18" xfId="0" applyNumberFormat="1" applyFont="1" applyFill="1" applyBorder="1" applyAlignment="1">
      <alignment horizontal="center" vertical="center" readingOrder="2"/>
    </xf>
    <xf numFmtId="164" fontId="23" fillId="9" borderId="13" xfId="0" applyNumberFormat="1" applyFont="1" applyFill="1" applyBorder="1" applyAlignment="1">
      <alignment horizontal="center" vertical="center" readingOrder="2"/>
    </xf>
    <xf numFmtId="164" fontId="23" fillId="9" borderId="22" xfId="0" applyNumberFormat="1" applyFont="1" applyFill="1" applyBorder="1" applyAlignment="1">
      <alignment horizontal="center" vertical="center" readingOrder="2"/>
    </xf>
    <xf numFmtId="0" fontId="22" fillId="10" borderId="12" xfId="0" applyFont="1" applyFill="1" applyBorder="1" applyAlignment="1">
      <alignment horizontal="center" vertical="center" wrapText="1" readingOrder="2"/>
    </xf>
    <xf numFmtId="164" fontId="22" fillId="10" borderId="12" xfId="0" applyNumberFormat="1" applyFont="1" applyFill="1" applyBorder="1" applyAlignment="1">
      <alignment horizontal="center" vertical="center" wrapText="1" readingOrder="2"/>
    </xf>
    <xf numFmtId="164" fontId="23" fillId="5" borderId="12" xfId="0" applyNumberFormat="1" applyFont="1" applyFill="1" applyBorder="1" applyAlignment="1">
      <alignment horizontal="center" vertical="center" readingOrder="2"/>
    </xf>
    <xf numFmtId="164" fontId="23" fillId="5" borderId="12" xfId="0" applyNumberFormat="1" applyFont="1" applyFill="1" applyBorder="1" applyAlignment="1">
      <alignment horizontal="center" vertical="center" wrapText="1" readingOrder="2"/>
    </xf>
    <xf numFmtId="164" fontId="22" fillId="9" borderId="14" xfId="1" applyNumberFormat="1" applyFont="1" applyFill="1" applyBorder="1" applyAlignment="1">
      <alignment horizontal="center" vertical="center" wrapText="1" readingOrder="2"/>
    </xf>
    <xf numFmtId="164" fontId="23" fillId="9" borderId="14" xfId="0" applyNumberFormat="1" applyFont="1" applyFill="1" applyBorder="1" applyAlignment="1">
      <alignment horizontal="center" vertical="center" readingOrder="2"/>
    </xf>
    <xf numFmtId="0" fontId="23" fillId="9" borderId="14" xfId="0" applyFont="1" applyFill="1" applyBorder="1" applyAlignment="1">
      <alignment horizontal="center" vertical="center" wrapText="1" readingOrder="2"/>
    </xf>
    <xf numFmtId="164" fontId="22" fillId="5" borderId="12" xfId="1" applyNumberFormat="1" applyFont="1" applyFill="1" applyBorder="1" applyAlignment="1">
      <alignment horizontal="center" vertical="center" wrapText="1" readingOrder="2"/>
    </xf>
    <xf numFmtId="0" fontId="23" fillId="5" borderId="15" xfId="0" applyFont="1" applyFill="1" applyBorder="1" applyAlignment="1">
      <alignment horizontal="center" vertical="center" readingOrder="2"/>
    </xf>
    <xf numFmtId="0" fontId="23" fillId="5" borderId="22" xfId="0" applyFont="1" applyFill="1" applyBorder="1" applyAlignment="1">
      <alignment horizontal="center" vertical="center" readingOrder="2"/>
    </xf>
    <xf numFmtId="164" fontId="22" fillId="10" borderId="14" xfId="0" applyNumberFormat="1" applyFont="1" applyFill="1" applyBorder="1" applyAlignment="1">
      <alignment horizontal="center" vertical="center" wrapText="1" readingOrder="2"/>
    </xf>
    <xf numFmtId="164" fontId="23" fillId="9" borderId="14" xfId="0" applyNumberFormat="1" applyFont="1" applyFill="1" applyBorder="1" applyAlignment="1">
      <alignment horizontal="center" vertical="center" wrapText="1" readingOrder="2"/>
    </xf>
    <xf numFmtId="164" fontId="23" fillId="0" borderId="14" xfId="0" applyNumberFormat="1" applyFont="1" applyBorder="1" applyAlignment="1" applyProtection="1">
      <alignment horizontal="center" vertical="center" wrapText="1" readingOrder="2"/>
      <protection locked="0"/>
    </xf>
    <xf numFmtId="164" fontId="23" fillId="0" borderId="11" xfId="0" applyNumberFormat="1" applyFont="1" applyBorder="1" applyAlignment="1" applyProtection="1">
      <alignment horizontal="center" vertical="center" wrapText="1" readingOrder="2"/>
      <protection locked="0"/>
    </xf>
    <xf numFmtId="164" fontId="23" fillId="0" borderId="12" xfId="0" applyNumberFormat="1" applyFont="1" applyBorder="1" applyAlignment="1" applyProtection="1">
      <alignment horizontal="center" vertical="center" wrapText="1" readingOrder="2"/>
      <protection locked="0"/>
    </xf>
    <xf numFmtId="164" fontId="22" fillId="9" borderId="14" xfId="0" applyNumberFormat="1" applyFont="1" applyFill="1" applyBorder="1" applyAlignment="1">
      <alignment horizontal="center" vertical="center" wrapText="1" readingOrder="2"/>
    </xf>
    <xf numFmtId="164" fontId="22" fillId="9" borderId="11" xfId="0" applyNumberFormat="1" applyFont="1" applyFill="1" applyBorder="1" applyAlignment="1">
      <alignment horizontal="center" vertical="center" wrapText="1" readingOrder="2"/>
    </xf>
    <xf numFmtId="164" fontId="22" fillId="9" borderId="12" xfId="0" applyNumberFormat="1" applyFont="1" applyFill="1" applyBorder="1" applyAlignment="1">
      <alignment horizontal="center" vertical="center" wrapText="1" readingOrder="2"/>
    </xf>
    <xf numFmtId="164" fontId="22" fillId="10" borderId="41" xfId="1" applyNumberFormat="1" applyFont="1" applyFill="1" applyBorder="1" applyAlignment="1">
      <alignment horizontal="center" vertical="center" wrapText="1" readingOrder="2"/>
    </xf>
    <xf numFmtId="164" fontId="22" fillId="10" borderId="18" xfId="0" applyNumberFormat="1" applyFont="1" applyFill="1" applyBorder="1" applyAlignment="1">
      <alignment horizontal="center" vertical="center" wrapText="1" readingOrder="2"/>
    </xf>
    <xf numFmtId="164" fontId="22" fillId="5" borderId="14" xfId="0" applyNumberFormat="1" applyFont="1" applyFill="1" applyBorder="1" applyAlignment="1">
      <alignment horizontal="center" vertical="center" wrapText="1" readingOrder="2"/>
    </xf>
    <xf numFmtId="164" fontId="22" fillId="5" borderId="11" xfId="0" applyNumberFormat="1" applyFont="1" applyFill="1" applyBorder="1" applyAlignment="1">
      <alignment horizontal="center" vertical="center" wrapText="1" readingOrder="2"/>
    </xf>
    <xf numFmtId="164" fontId="22" fillId="5" borderId="12" xfId="0" applyNumberFormat="1" applyFont="1" applyFill="1" applyBorder="1" applyAlignment="1">
      <alignment horizontal="center" vertical="center" wrapText="1" readingOrder="2"/>
    </xf>
    <xf numFmtId="9" fontId="23" fillId="9" borderId="15" xfId="1" applyFont="1" applyFill="1" applyBorder="1" applyAlignment="1">
      <alignment horizontal="center" vertical="center" readingOrder="2"/>
    </xf>
    <xf numFmtId="9" fontId="23" fillId="9" borderId="31" xfId="1" applyFont="1" applyFill="1" applyBorder="1" applyAlignment="1">
      <alignment horizontal="center" vertical="center" readingOrder="2"/>
    </xf>
    <xf numFmtId="164" fontId="23" fillId="0" borderId="13" xfId="0" applyNumberFormat="1" applyFont="1" applyBorder="1" applyAlignment="1" applyProtection="1">
      <alignment horizontal="center" vertical="center" readingOrder="2"/>
      <protection locked="0"/>
    </xf>
    <xf numFmtId="164" fontId="22" fillId="9" borderId="13" xfId="0" applyNumberFormat="1" applyFont="1" applyFill="1" applyBorder="1" applyAlignment="1">
      <alignment horizontal="center" vertical="center" readingOrder="2"/>
    </xf>
    <xf numFmtId="164" fontId="22" fillId="12" borderId="20" xfId="1" applyNumberFormat="1" applyFont="1" applyFill="1" applyBorder="1" applyAlignment="1">
      <alignment horizontal="center" vertical="center" wrapText="1" readingOrder="2"/>
    </xf>
    <xf numFmtId="164" fontId="22" fillId="12" borderId="21" xfId="1" applyNumberFormat="1" applyFont="1" applyFill="1" applyBorder="1" applyAlignment="1">
      <alignment horizontal="center" vertical="center" wrapText="1" readingOrder="2"/>
    </xf>
    <xf numFmtId="164" fontId="22" fillId="12" borderId="41" xfId="1" applyNumberFormat="1" applyFont="1" applyFill="1" applyBorder="1" applyAlignment="1">
      <alignment horizontal="center" vertical="center" wrapText="1" readingOrder="2"/>
    </xf>
    <xf numFmtId="164" fontId="22" fillId="12" borderId="23" xfId="1" applyNumberFormat="1" applyFont="1" applyFill="1" applyBorder="1" applyAlignment="1">
      <alignment horizontal="center" vertical="center" wrapText="1" readingOrder="2"/>
    </xf>
    <xf numFmtId="0" fontId="23" fillId="9" borderId="15" xfId="0" applyFont="1" applyFill="1" applyBorder="1" applyAlignment="1">
      <alignment horizontal="center" vertical="center" readingOrder="2"/>
    </xf>
    <xf numFmtId="0" fontId="23" fillId="9" borderId="14" xfId="0" applyFont="1" applyFill="1" applyBorder="1" applyAlignment="1">
      <alignment horizontal="center" vertical="center" readingOrder="2"/>
    </xf>
    <xf numFmtId="164" fontId="22" fillId="5" borderId="11" xfId="1" applyNumberFormat="1" applyFont="1" applyFill="1" applyBorder="1" applyAlignment="1">
      <alignment horizontal="center" vertical="center" wrapText="1" readingOrder="2"/>
    </xf>
    <xf numFmtId="164" fontId="22" fillId="5" borderId="36" xfId="1" applyNumberFormat="1" applyFont="1" applyFill="1" applyBorder="1" applyAlignment="1">
      <alignment horizontal="center" vertical="center" wrapText="1" readingOrder="2"/>
    </xf>
    <xf numFmtId="0" fontId="23" fillId="5" borderId="42" xfId="0" applyFont="1" applyFill="1" applyBorder="1" applyAlignment="1">
      <alignment horizontal="center" vertical="center" readingOrder="2"/>
    </xf>
    <xf numFmtId="0" fontId="23" fillId="5" borderId="11" xfId="0" applyFont="1" applyFill="1" applyBorder="1" applyAlignment="1">
      <alignment horizontal="center" vertical="center" wrapText="1" readingOrder="2"/>
    </xf>
    <xf numFmtId="164" fontId="22" fillId="12" borderId="11" xfId="0" applyNumberFormat="1" applyFont="1" applyFill="1" applyBorder="1" applyAlignment="1">
      <alignment horizontal="center" vertical="center" wrapText="1" readingOrder="2"/>
    </xf>
    <xf numFmtId="164" fontId="22" fillId="12" borderId="35" xfId="0" applyNumberFormat="1" applyFont="1" applyFill="1" applyBorder="1" applyAlignment="1">
      <alignment horizontal="center" vertical="center" wrapText="1" readingOrder="2"/>
    </xf>
    <xf numFmtId="164" fontId="22" fillId="12" borderId="12" xfId="0" applyNumberFormat="1" applyFont="1" applyFill="1" applyBorder="1" applyAlignment="1">
      <alignment horizontal="center" vertical="center" wrapText="1" readingOrder="2"/>
    </xf>
    <xf numFmtId="164" fontId="23" fillId="5" borderId="11" xfId="0" applyNumberFormat="1" applyFont="1" applyFill="1" applyBorder="1" applyAlignment="1">
      <alignment horizontal="center" vertical="center" wrapText="1" readingOrder="2"/>
    </xf>
    <xf numFmtId="164" fontId="23" fillId="5" borderId="0" xfId="0" applyNumberFormat="1" applyFont="1" applyFill="1" applyAlignment="1">
      <alignment horizontal="center" vertical="center" wrapText="1" readingOrder="2"/>
    </xf>
    <xf numFmtId="164" fontId="22" fillId="9" borderId="11" xfId="1" applyNumberFormat="1" applyFont="1" applyFill="1" applyBorder="1" applyAlignment="1">
      <alignment horizontal="center" vertical="center" wrapText="1" readingOrder="2"/>
    </xf>
    <xf numFmtId="164" fontId="22" fillId="9" borderId="17" xfId="1" applyNumberFormat="1" applyFont="1" applyFill="1" applyBorder="1" applyAlignment="1">
      <alignment horizontal="center" vertical="center" wrapText="1" readingOrder="2"/>
    </xf>
    <xf numFmtId="0" fontId="22" fillId="12" borderId="22" xfId="0" applyFont="1" applyFill="1" applyBorder="1" applyAlignment="1">
      <alignment horizontal="center" vertical="center" wrapText="1" readingOrder="2"/>
    </xf>
    <xf numFmtId="165" fontId="22" fillId="12" borderId="15" xfId="1" applyNumberFormat="1" applyFont="1" applyFill="1" applyBorder="1" applyAlignment="1">
      <alignment horizontal="center" vertical="center" wrapText="1" readingOrder="2"/>
    </xf>
    <xf numFmtId="164" fontId="22" fillId="12" borderId="19" xfId="1" applyNumberFormat="1" applyFont="1" applyFill="1" applyBorder="1" applyAlignment="1">
      <alignment horizontal="center" vertical="center" wrapText="1" readingOrder="2"/>
    </xf>
    <xf numFmtId="164" fontId="22" fillId="12" borderId="11" xfId="1" applyNumberFormat="1" applyFont="1" applyFill="1" applyBorder="1" applyAlignment="1">
      <alignment horizontal="center" vertical="center" wrapText="1" readingOrder="2"/>
    </xf>
    <xf numFmtId="164" fontId="22" fillId="12" borderId="12" xfId="1" applyNumberFormat="1" applyFont="1" applyFill="1" applyBorder="1" applyAlignment="1">
      <alignment horizontal="center" vertical="center" wrapText="1" readingOrder="2"/>
    </xf>
    <xf numFmtId="164" fontId="22" fillId="12" borderId="14" xfId="1" applyNumberFormat="1" applyFont="1" applyFill="1" applyBorder="1" applyAlignment="1">
      <alignment horizontal="center" vertical="center" wrapText="1" readingOrder="2"/>
    </xf>
    <xf numFmtId="164" fontId="22" fillId="12" borderId="17" xfId="1" applyNumberFormat="1" applyFont="1" applyFill="1" applyBorder="1" applyAlignment="1">
      <alignment horizontal="center" vertical="center" wrapText="1" readingOrder="2"/>
    </xf>
    <xf numFmtId="164" fontId="22" fillId="12" borderId="19" xfId="0" applyNumberFormat="1" applyFont="1" applyFill="1" applyBorder="1" applyAlignment="1">
      <alignment horizontal="center" vertical="center" wrapText="1" readingOrder="2"/>
    </xf>
    <xf numFmtId="0" fontId="23" fillId="9" borderId="37" xfId="0" applyFont="1" applyFill="1" applyBorder="1" applyAlignment="1">
      <alignment horizontal="center" vertical="center" wrapText="1" readingOrder="2"/>
    </xf>
    <xf numFmtId="0" fontId="23" fillId="9" borderId="16" xfId="0" applyFont="1" applyFill="1" applyBorder="1" applyAlignment="1">
      <alignment horizontal="center" vertical="center" wrapText="1" readingOrder="2"/>
    </xf>
    <xf numFmtId="0" fontId="22" fillId="12" borderId="14" xfId="0" applyFont="1" applyFill="1" applyBorder="1" applyAlignment="1">
      <alignment horizontal="center" vertical="center" wrapText="1" readingOrder="2"/>
    </xf>
    <xf numFmtId="0" fontId="23" fillId="9" borderId="39" xfId="0" applyFont="1" applyFill="1" applyBorder="1" applyAlignment="1">
      <alignment horizontal="center" vertical="center" wrapText="1" readingOrder="2"/>
    </xf>
    <xf numFmtId="164" fontId="22" fillId="5" borderId="19" xfId="1" applyNumberFormat="1" applyFont="1" applyFill="1" applyBorder="1" applyAlignment="1">
      <alignment horizontal="center" vertical="center" wrapText="1" readingOrder="2"/>
    </xf>
    <xf numFmtId="164" fontId="22" fillId="5" borderId="17" xfId="1" applyNumberFormat="1" applyFont="1" applyFill="1" applyBorder="1" applyAlignment="1">
      <alignment horizontal="center" vertical="center" wrapText="1" readingOrder="2"/>
    </xf>
    <xf numFmtId="164" fontId="22" fillId="10" borderId="28" xfId="1" applyNumberFormat="1" applyFont="1" applyFill="1" applyBorder="1" applyAlignment="1">
      <alignment horizontal="center" vertical="center" wrapText="1" readingOrder="2"/>
    </xf>
    <xf numFmtId="164" fontId="22" fillId="10" borderId="30" xfId="1" applyNumberFormat="1" applyFont="1" applyFill="1" applyBorder="1" applyAlignment="1">
      <alignment horizontal="center" vertical="center" wrapText="1" readingOrder="2"/>
    </xf>
    <xf numFmtId="164" fontId="22" fillId="10" borderId="33" xfId="1" applyNumberFormat="1" applyFont="1" applyFill="1" applyBorder="1" applyAlignment="1">
      <alignment horizontal="center" vertical="center" wrapText="1" readingOrder="2"/>
    </xf>
    <xf numFmtId="0" fontId="23" fillId="5" borderId="31" xfId="0" applyFont="1" applyFill="1" applyBorder="1" applyAlignment="1">
      <alignment horizontal="center" vertical="center" readingOrder="2"/>
    </xf>
    <xf numFmtId="0" fontId="22" fillId="10" borderId="19" xfId="0" applyFont="1" applyFill="1" applyBorder="1" applyAlignment="1">
      <alignment horizontal="center" vertical="center" wrapText="1" readingOrder="2"/>
    </xf>
    <xf numFmtId="164" fontId="22" fillId="10" borderId="19" xfId="0" applyNumberFormat="1" applyFont="1" applyFill="1" applyBorder="1" applyAlignment="1">
      <alignment horizontal="center" vertical="center" wrapText="1" readingOrder="2"/>
    </xf>
    <xf numFmtId="164" fontId="22" fillId="10" borderId="11" xfId="0" applyNumberFormat="1" applyFont="1" applyFill="1" applyBorder="1" applyAlignment="1">
      <alignment horizontal="center" vertical="center" wrapText="1" readingOrder="2"/>
    </xf>
    <xf numFmtId="164" fontId="22" fillId="10" borderId="17" xfId="0" applyNumberFormat="1" applyFont="1" applyFill="1" applyBorder="1" applyAlignment="1">
      <alignment horizontal="center" vertical="center" wrapText="1" readingOrder="2"/>
    </xf>
    <xf numFmtId="166" fontId="22" fillId="5" borderId="19" xfId="1" applyNumberFormat="1" applyFont="1" applyFill="1" applyBorder="1" applyAlignment="1">
      <alignment horizontal="center" vertical="center" wrapText="1" readingOrder="2"/>
    </xf>
    <xf numFmtId="166" fontId="22" fillId="5" borderId="11" xfId="1" applyNumberFormat="1" applyFont="1" applyFill="1" applyBorder="1" applyAlignment="1">
      <alignment horizontal="center" vertical="center" wrapText="1" readingOrder="2"/>
    </xf>
    <xf numFmtId="166" fontId="22" fillId="5" borderId="12" xfId="1" applyNumberFormat="1" applyFont="1" applyFill="1" applyBorder="1" applyAlignment="1">
      <alignment horizontal="center" vertical="center" wrapText="1" readingOrder="2"/>
    </xf>
    <xf numFmtId="9" fontId="7" fillId="10" borderId="27" xfId="1" applyFont="1" applyFill="1" applyBorder="1" applyAlignment="1">
      <alignment horizontal="center" vertical="center" wrapText="1" readingOrder="2"/>
    </xf>
    <xf numFmtId="9" fontId="7" fillId="10" borderId="29" xfId="1" applyFont="1" applyFill="1" applyBorder="1" applyAlignment="1">
      <alignment horizontal="center" vertical="center" wrapText="1" readingOrder="2"/>
    </xf>
    <xf numFmtId="9" fontId="7" fillId="10" borderId="32" xfId="1" applyFont="1" applyFill="1" applyBorder="1" applyAlignment="1">
      <alignment horizontal="center" vertical="center" wrapText="1" readingOrder="2"/>
    </xf>
    <xf numFmtId="164" fontId="38" fillId="10" borderId="19" xfId="1" applyNumberFormat="1" applyFont="1" applyFill="1" applyBorder="1" applyAlignment="1">
      <alignment horizontal="center" vertical="center" wrapText="1" readingOrder="2"/>
    </xf>
    <xf numFmtId="164" fontId="38" fillId="10" borderId="11" xfId="1" applyNumberFormat="1" applyFont="1" applyFill="1" applyBorder="1" applyAlignment="1">
      <alignment horizontal="center" vertical="center" wrapText="1" readingOrder="2"/>
    </xf>
    <xf numFmtId="164" fontId="38" fillId="10" borderId="17" xfId="1" applyNumberFormat="1" applyFont="1" applyFill="1" applyBorder="1" applyAlignment="1">
      <alignment horizontal="center" vertical="center" wrapText="1" readingOrder="2"/>
    </xf>
    <xf numFmtId="9" fontId="7" fillId="10" borderId="19" xfId="1" applyFont="1" applyFill="1" applyBorder="1" applyAlignment="1">
      <alignment horizontal="center" vertical="center" wrapText="1" readingOrder="2"/>
    </xf>
    <xf numFmtId="9" fontId="7" fillId="10" borderId="11" xfId="1" applyFont="1" applyFill="1" applyBorder="1" applyAlignment="1">
      <alignment horizontal="center" vertical="center" wrapText="1" readingOrder="2"/>
    </xf>
    <xf numFmtId="9" fontId="7" fillId="10" borderId="17" xfId="1" applyFont="1" applyFill="1" applyBorder="1" applyAlignment="1">
      <alignment horizontal="center" vertical="center" wrapText="1" readingOrder="2"/>
    </xf>
    <xf numFmtId="165" fontId="22" fillId="10" borderId="19" xfId="1" applyNumberFormat="1" applyFont="1" applyFill="1" applyBorder="1" applyAlignment="1">
      <alignment horizontal="center" vertical="center" wrapText="1" readingOrder="2"/>
    </xf>
    <xf numFmtId="165" fontId="22" fillId="10" borderId="11" xfId="1" applyNumberFormat="1" applyFont="1" applyFill="1" applyBorder="1" applyAlignment="1">
      <alignment horizontal="center" vertical="center" wrapText="1" readingOrder="2"/>
    </xf>
    <xf numFmtId="165" fontId="22" fillId="10" borderId="17" xfId="1" applyNumberFormat="1" applyFont="1" applyFill="1" applyBorder="1" applyAlignment="1">
      <alignment horizontal="center" vertical="center" wrapText="1" readingOrder="2"/>
    </xf>
    <xf numFmtId="164" fontId="22" fillId="10" borderId="19" xfId="1" applyNumberFormat="1" applyFont="1" applyFill="1" applyBorder="1" applyAlignment="1">
      <alignment horizontal="center" vertical="center" wrapText="1" readingOrder="2"/>
    </xf>
    <xf numFmtId="164" fontId="22" fillId="10" borderId="11" xfId="1" applyNumberFormat="1" applyFont="1" applyFill="1" applyBorder="1" applyAlignment="1">
      <alignment horizontal="center" vertical="center" wrapText="1" readingOrder="2"/>
    </xf>
    <xf numFmtId="164" fontId="22" fillId="10" borderId="17" xfId="1" applyNumberFormat="1" applyFont="1" applyFill="1" applyBorder="1" applyAlignment="1">
      <alignment horizontal="center" vertical="center" wrapText="1" readingOrder="2"/>
    </xf>
    <xf numFmtId="164" fontId="23" fillId="9" borderId="11" xfId="0" applyNumberFormat="1" applyFont="1" applyFill="1" applyBorder="1" applyAlignment="1">
      <alignment horizontal="center" vertical="center" readingOrder="2"/>
    </xf>
    <xf numFmtId="164" fontId="23" fillId="9" borderId="12" xfId="0" applyNumberFormat="1" applyFont="1" applyFill="1" applyBorder="1" applyAlignment="1">
      <alignment horizontal="center" vertical="center" readingOrder="2"/>
    </xf>
    <xf numFmtId="164" fontId="23" fillId="9" borderId="17" xfId="0" applyNumberFormat="1" applyFont="1" applyFill="1" applyBorder="1" applyAlignment="1">
      <alignment horizontal="center" vertical="center" readingOrder="2"/>
    </xf>
    <xf numFmtId="166" fontId="22" fillId="5" borderId="13" xfId="0" applyNumberFormat="1" applyFont="1" applyFill="1" applyBorder="1" applyAlignment="1">
      <alignment horizontal="center" vertical="center" wrapText="1" readingOrder="2"/>
    </xf>
    <xf numFmtId="166" fontId="22" fillId="12" borderId="20" xfId="1" applyNumberFormat="1" applyFont="1" applyFill="1" applyBorder="1" applyAlignment="1">
      <alignment horizontal="center" vertical="center" wrapText="1" readingOrder="2"/>
    </xf>
    <xf numFmtId="166" fontId="22" fillId="12" borderId="21" xfId="1" applyNumberFormat="1" applyFont="1" applyFill="1" applyBorder="1" applyAlignment="1">
      <alignment horizontal="center" vertical="center" wrapText="1" readingOrder="2"/>
    </xf>
    <xf numFmtId="166" fontId="22" fillId="12" borderId="23" xfId="1" applyNumberFormat="1" applyFont="1" applyFill="1" applyBorder="1" applyAlignment="1">
      <alignment horizontal="center" vertical="center" wrapText="1" readingOrder="2"/>
    </xf>
    <xf numFmtId="0" fontId="22" fillId="10" borderId="11" xfId="0" applyFont="1" applyFill="1" applyBorder="1" applyAlignment="1">
      <alignment horizontal="center" vertical="center" wrapText="1" readingOrder="2"/>
    </xf>
    <xf numFmtId="0" fontId="22" fillId="10" borderId="17" xfId="0" applyFont="1" applyFill="1" applyBorder="1" applyAlignment="1">
      <alignment horizontal="center" vertical="center" wrapText="1" readingOrder="2"/>
    </xf>
    <xf numFmtId="164" fontId="22" fillId="10" borderId="18" xfId="0" applyNumberFormat="1" applyFont="1" applyFill="1" applyBorder="1" applyAlignment="1">
      <alignment horizontal="center" vertical="center" readingOrder="2"/>
    </xf>
    <xf numFmtId="164" fontId="22" fillId="10" borderId="13" xfId="0" applyNumberFormat="1" applyFont="1" applyFill="1" applyBorder="1" applyAlignment="1">
      <alignment horizontal="center" vertical="center" readingOrder="2"/>
    </xf>
    <xf numFmtId="0" fontId="23" fillId="9" borderId="18" xfId="0" applyFont="1" applyFill="1" applyBorder="1" applyAlignment="1">
      <alignment horizontal="center" vertical="center" readingOrder="2"/>
    </xf>
    <xf numFmtId="164" fontId="22" fillId="5" borderId="14" xfId="1" applyNumberFormat="1" applyFont="1" applyFill="1" applyBorder="1" applyAlignment="1">
      <alignment horizontal="center" vertical="center" wrapText="1" readingOrder="2"/>
    </xf>
    <xf numFmtId="166" fontId="22" fillId="5" borderId="14" xfId="1" applyNumberFormat="1" applyFont="1" applyFill="1" applyBorder="1" applyAlignment="1">
      <alignment horizontal="center" vertical="center" wrapText="1" readingOrder="2"/>
    </xf>
    <xf numFmtId="166" fontId="22" fillId="5" borderId="17" xfId="1" applyNumberFormat="1" applyFont="1" applyFill="1" applyBorder="1" applyAlignment="1">
      <alignment horizontal="center" vertical="center" wrapText="1" readingOrder="2"/>
    </xf>
    <xf numFmtId="164" fontId="22" fillId="9" borderId="18" xfId="0" applyNumberFormat="1" applyFont="1" applyFill="1" applyBorder="1" applyAlignment="1">
      <alignment horizontal="center" vertical="center" readingOrder="2"/>
    </xf>
    <xf numFmtId="164" fontId="22" fillId="9" borderId="12" xfId="1" applyNumberFormat="1" applyFont="1" applyFill="1" applyBorder="1" applyAlignment="1">
      <alignment horizontal="center" vertical="center" wrapText="1" readingOrder="2"/>
    </xf>
    <xf numFmtId="0" fontId="22" fillId="12" borderId="13" xfId="0" applyFont="1" applyFill="1" applyBorder="1" applyAlignment="1">
      <alignment horizontal="center" vertical="center" readingOrder="2"/>
    </xf>
    <xf numFmtId="0" fontId="22" fillId="12" borderId="14" xfId="0" applyFont="1" applyFill="1" applyBorder="1" applyAlignment="1">
      <alignment horizontal="center" vertical="center" readingOrder="2"/>
    </xf>
    <xf numFmtId="0" fontId="22" fillId="12" borderId="11" xfId="0" applyFont="1" applyFill="1" applyBorder="1" applyAlignment="1">
      <alignment horizontal="center" vertical="center" readingOrder="2"/>
    </xf>
    <xf numFmtId="0" fontId="22" fillId="12" borderId="12" xfId="0" applyFont="1" applyFill="1" applyBorder="1" applyAlignment="1">
      <alignment horizontal="center" vertical="center" readingOrder="2"/>
    </xf>
    <xf numFmtId="164" fontId="23" fillId="9" borderId="13" xfId="0" applyNumberFormat="1" applyFont="1" applyFill="1" applyBorder="1" applyAlignment="1">
      <alignment horizontal="center" readingOrder="2"/>
    </xf>
    <xf numFmtId="166" fontId="22" fillId="9" borderId="14" xfId="1" applyNumberFormat="1" applyFont="1" applyFill="1" applyBorder="1" applyAlignment="1">
      <alignment horizontal="center" vertical="center" wrapText="1" readingOrder="2"/>
    </xf>
    <xf numFmtId="166" fontId="22" fillId="9" borderId="11" xfId="1" applyNumberFormat="1" applyFont="1" applyFill="1" applyBorder="1" applyAlignment="1">
      <alignment horizontal="center" vertical="center" wrapText="1" readingOrder="2"/>
    </xf>
    <xf numFmtId="166" fontId="22" fillId="9" borderId="12" xfId="1" applyNumberFormat="1" applyFont="1" applyFill="1" applyBorder="1" applyAlignment="1">
      <alignment horizontal="center" vertical="center" wrapText="1" readingOrder="2"/>
    </xf>
    <xf numFmtId="0" fontId="22" fillId="12" borderId="11" xfId="0" applyFont="1" applyFill="1" applyBorder="1" applyAlignment="1">
      <alignment horizontal="center" vertical="center" wrapText="1" readingOrder="2"/>
    </xf>
    <xf numFmtId="0" fontId="22" fillId="12" borderId="12" xfId="0" applyFont="1" applyFill="1" applyBorder="1" applyAlignment="1">
      <alignment horizontal="center" vertical="center" wrapText="1" readingOrder="2"/>
    </xf>
    <xf numFmtId="166" fontId="22" fillId="9" borderId="13" xfId="0" applyNumberFormat="1" applyFont="1" applyFill="1" applyBorder="1" applyAlignment="1">
      <alignment horizontal="center" vertical="center" wrapText="1" readingOrder="2"/>
    </xf>
    <xf numFmtId="0" fontId="23" fillId="9" borderId="13" xfId="0" applyFont="1" applyFill="1" applyBorder="1" applyAlignment="1">
      <alignment horizontal="center" readingOrder="2"/>
    </xf>
    <xf numFmtId="0" fontId="23" fillId="9" borderId="15" xfId="0" applyFont="1" applyFill="1" applyBorder="1" applyAlignment="1">
      <alignment horizontal="center" readingOrder="2"/>
    </xf>
    <xf numFmtId="164" fontId="22" fillId="9" borderId="19" xfId="1" applyNumberFormat="1" applyFont="1" applyFill="1" applyBorder="1" applyAlignment="1">
      <alignment horizontal="center" vertical="center" wrapText="1" readingOrder="2"/>
    </xf>
    <xf numFmtId="0" fontId="17" fillId="12" borderId="24" xfId="0" applyFont="1" applyFill="1" applyBorder="1" applyAlignment="1">
      <alignment horizontal="center" vertical="center" wrapText="1" readingOrder="2"/>
    </xf>
    <xf numFmtId="0" fontId="17" fillId="12" borderId="25" xfId="0" applyFont="1" applyFill="1" applyBorder="1" applyAlignment="1">
      <alignment horizontal="center" vertical="center" wrapText="1" readingOrder="2"/>
    </xf>
    <xf numFmtId="0" fontId="17" fillId="12" borderId="26" xfId="0" applyFont="1" applyFill="1" applyBorder="1" applyAlignment="1">
      <alignment horizontal="center" vertical="center" wrapText="1" readingOrder="2"/>
    </xf>
    <xf numFmtId="164" fontId="38" fillId="12" borderId="18" xfId="0" applyNumberFormat="1" applyFont="1" applyFill="1" applyBorder="1" applyAlignment="1">
      <alignment horizontal="center" vertical="center" wrapText="1" readingOrder="2"/>
    </xf>
    <xf numFmtId="164" fontId="38" fillId="12" borderId="13" xfId="0" applyNumberFormat="1" applyFont="1" applyFill="1" applyBorder="1" applyAlignment="1">
      <alignment horizontal="center" vertical="center" wrapText="1" readingOrder="2"/>
    </xf>
    <xf numFmtId="164" fontId="38" fillId="12" borderId="22" xfId="0" applyNumberFormat="1" applyFont="1" applyFill="1" applyBorder="1" applyAlignment="1">
      <alignment horizontal="center" vertical="center" wrapText="1" readingOrder="2"/>
    </xf>
    <xf numFmtId="0" fontId="7" fillId="12" borderId="18" xfId="0" applyFont="1" applyFill="1" applyBorder="1" applyAlignment="1">
      <alignment horizontal="center" vertical="center" wrapText="1" readingOrder="2"/>
    </xf>
    <xf numFmtId="0" fontId="7" fillId="12" borderId="13" xfId="0" applyFont="1" applyFill="1" applyBorder="1" applyAlignment="1">
      <alignment horizontal="center" vertical="center" wrapText="1" readingOrder="2"/>
    </xf>
    <xf numFmtId="0" fontId="7" fillId="12" borderId="22" xfId="0" applyFont="1" applyFill="1" applyBorder="1" applyAlignment="1">
      <alignment horizontal="center" vertical="center" wrapText="1" readingOrder="2"/>
    </xf>
    <xf numFmtId="164" fontId="23" fillId="5" borderId="14" xfId="0" applyNumberFormat="1" applyFont="1" applyFill="1" applyBorder="1" applyAlignment="1">
      <alignment horizontal="center" vertical="center" wrapText="1" readingOrder="2"/>
    </xf>
    <xf numFmtId="164" fontId="23" fillId="9" borderId="12" xfId="0" applyNumberFormat="1" applyFont="1" applyFill="1" applyBorder="1" applyAlignment="1">
      <alignment horizontal="center" vertical="center" wrapText="1" readingOrder="2"/>
    </xf>
    <xf numFmtId="0" fontId="23" fillId="5" borderId="15" xfId="0" applyFont="1" applyFill="1" applyBorder="1" applyAlignment="1">
      <alignment horizontal="center" vertical="center" wrapText="1" readingOrder="2"/>
    </xf>
    <xf numFmtId="0" fontId="23" fillId="5" borderId="31" xfId="0" applyFont="1" applyFill="1" applyBorder="1" applyAlignment="1">
      <alignment horizontal="center" vertical="center" wrapText="1" readingOrder="2"/>
    </xf>
    <xf numFmtId="164" fontId="23" fillId="5" borderId="17" xfId="0" applyNumberFormat="1" applyFont="1" applyFill="1" applyBorder="1" applyAlignment="1">
      <alignment horizontal="center" vertical="center" wrapText="1" readingOrder="2"/>
    </xf>
    <xf numFmtId="0" fontId="23" fillId="5" borderId="17" xfId="0" applyFont="1" applyFill="1" applyBorder="1" applyAlignment="1">
      <alignment horizontal="center" vertical="center" wrapText="1" readingOrder="2"/>
    </xf>
    <xf numFmtId="0" fontId="23" fillId="9" borderId="12" xfId="0" applyFont="1" applyFill="1" applyBorder="1" applyAlignment="1">
      <alignment horizontal="center" vertical="center" wrapText="1" readingOrder="2"/>
    </xf>
    <xf numFmtId="0" fontId="23" fillId="9" borderId="15" xfId="0" applyFont="1" applyFill="1" applyBorder="1" applyAlignment="1">
      <alignment horizontal="center" vertical="center" wrapText="1" readingOrder="2"/>
    </xf>
    <xf numFmtId="164" fontId="23" fillId="9" borderId="11" xfId="0" applyNumberFormat="1" applyFont="1" applyFill="1" applyBorder="1" applyAlignment="1">
      <alignment horizontal="center" vertical="center" wrapText="1" readingOrder="2"/>
    </xf>
    <xf numFmtId="0" fontId="7" fillId="10" borderId="29" xfId="0" applyFont="1" applyFill="1" applyBorder="1" applyAlignment="1">
      <alignment horizontal="center" vertical="center" wrapText="1" readingOrder="2"/>
    </xf>
    <xf numFmtId="0" fontId="7" fillId="10" borderId="32" xfId="0" applyFont="1" applyFill="1" applyBorder="1" applyAlignment="1">
      <alignment horizontal="center" vertical="center" wrapText="1" readingOrder="2"/>
    </xf>
    <xf numFmtId="164" fontId="38" fillId="10" borderId="11" xfId="0" applyNumberFormat="1" applyFont="1" applyFill="1" applyBorder="1" applyAlignment="1">
      <alignment horizontal="center" vertical="center" wrapText="1" readingOrder="2"/>
    </xf>
    <xf numFmtId="164" fontId="38" fillId="10" borderId="17" xfId="0" applyNumberFormat="1" applyFont="1" applyFill="1" applyBorder="1" applyAlignment="1">
      <alignment horizontal="center" vertical="center" wrapText="1" readingOrder="2"/>
    </xf>
    <xf numFmtId="0" fontId="7" fillId="10" borderId="11" xfId="0" applyFont="1" applyFill="1" applyBorder="1" applyAlignment="1">
      <alignment horizontal="center" vertical="center" wrapText="1" readingOrder="2"/>
    </xf>
    <xf numFmtId="0" fontId="7" fillId="10" borderId="17" xfId="0" applyFont="1" applyFill="1" applyBorder="1" applyAlignment="1">
      <alignment horizontal="center" vertical="center" wrapText="1" readingOrder="2"/>
    </xf>
    <xf numFmtId="164" fontId="55" fillId="10" borderId="43" xfId="0" applyNumberFormat="1" applyFont="1" applyFill="1" applyBorder="1" applyAlignment="1">
      <alignment horizontal="center" vertical="center" wrapText="1" readingOrder="2"/>
    </xf>
    <xf numFmtId="164" fontId="55" fillId="10" borderId="25" xfId="0" applyNumberFormat="1" applyFont="1" applyFill="1" applyBorder="1" applyAlignment="1">
      <alignment horizontal="center" vertical="center" wrapText="1" readingOrder="2"/>
    </xf>
    <xf numFmtId="164" fontId="55" fillId="10" borderId="26" xfId="0" applyNumberFormat="1" applyFont="1" applyFill="1" applyBorder="1" applyAlignment="1">
      <alignment horizontal="center" vertical="center" wrapText="1" readingOrder="2"/>
    </xf>
    <xf numFmtId="0" fontId="14" fillId="10" borderId="12" xfId="0" applyFont="1" applyFill="1" applyBorder="1" applyAlignment="1">
      <alignment horizontal="center" vertical="center" wrapText="1" readingOrder="2"/>
    </xf>
    <xf numFmtId="0" fontId="14" fillId="10" borderId="13" xfId="0" applyFont="1" applyFill="1" applyBorder="1" applyAlignment="1">
      <alignment horizontal="center" vertical="center" wrapText="1" readingOrder="2"/>
    </xf>
    <xf numFmtId="0" fontId="14" fillId="10" borderId="22" xfId="0" applyFont="1" applyFill="1" applyBorder="1" applyAlignment="1">
      <alignment horizontal="center" vertical="center" wrapText="1" readingOrder="2"/>
    </xf>
    <xf numFmtId="164" fontId="14" fillId="10" borderId="12" xfId="0" applyNumberFormat="1" applyFont="1" applyFill="1" applyBorder="1" applyAlignment="1">
      <alignment horizontal="center" vertical="center" wrapText="1" readingOrder="2"/>
    </xf>
    <xf numFmtId="164" fontId="14" fillId="10" borderId="13" xfId="0" applyNumberFormat="1" applyFont="1" applyFill="1" applyBorder="1" applyAlignment="1">
      <alignment horizontal="center" vertical="center" wrapText="1" readingOrder="2"/>
    </xf>
    <xf numFmtId="164" fontId="14" fillId="10" borderId="22" xfId="0" applyNumberFormat="1" applyFont="1" applyFill="1" applyBorder="1" applyAlignment="1">
      <alignment horizontal="center" vertical="center" wrapText="1" readingOrder="2"/>
    </xf>
    <xf numFmtId="164" fontId="7" fillId="10" borderId="12" xfId="0" applyNumberFormat="1" applyFont="1" applyFill="1" applyBorder="1" applyAlignment="1">
      <alignment horizontal="center" vertical="center" wrapText="1" readingOrder="2"/>
    </xf>
    <xf numFmtId="164" fontId="7" fillId="10" borderId="13" xfId="0" applyNumberFormat="1" applyFont="1" applyFill="1" applyBorder="1" applyAlignment="1">
      <alignment horizontal="center" vertical="center" wrapText="1" readingOrder="2"/>
    </xf>
    <xf numFmtId="164" fontId="7" fillId="10" borderId="15" xfId="0" applyNumberFormat="1" applyFont="1" applyFill="1" applyBorder="1" applyAlignment="1">
      <alignment horizontal="center" vertical="center" wrapText="1" readingOrder="2"/>
    </xf>
    <xf numFmtId="164" fontId="7" fillId="10" borderId="22" xfId="0" applyNumberFormat="1" applyFont="1" applyFill="1" applyBorder="1" applyAlignment="1">
      <alignment horizontal="center" vertical="center" wrapText="1" readingOrder="2"/>
    </xf>
    <xf numFmtId="164" fontId="1" fillId="5" borderId="12" xfId="0" applyNumberFormat="1" applyFont="1" applyFill="1" applyBorder="1" applyAlignment="1">
      <alignment horizontal="center" vertical="center" wrapText="1" readingOrder="2"/>
    </xf>
    <xf numFmtId="164" fontId="1" fillId="5" borderId="14" xfId="0" applyNumberFormat="1" applyFont="1" applyFill="1" applyBorder="1" applyAlignment="1">
      <alignment horizontal="center" vertical="center" wrapText="1" readingOrder="2"/>
    </xf>
    <xf numFmtId="164" fontId="1" fillId="0" borderId="12" xfId="0" applyNumberFormat="1" applyFont="1" applyBorder="1" applyAlignment="1">
      <alignment horizontal="right" vertical="center" wrapText="1" readingOrder="2"/>
    </xf>
    <xf numFmtId="164" fontId="1" fillId="0" borderId="14" xfId="0" applyNumberFormat="1" applyFont="1" applyBorder="1" applyAlignment="1">
      <alignment horizontal="right" vertical="center" wrapText="1" readingOrder="2"/>
    </xf>
    <xf numFmtId="164" fontId="1" fillId="0" borderId="12" xfId="0" applyNumberFormat="1" applyFont="1" applyBorder="1" applyAlignment="1">
      <alignment horizontal="center" vertical="center" wrapText="1" readingOrder="2"/>
    </xf>
    <xf numFmtId="164" fontId="1" fillId="0" borderId="14" xfId="0" applyNumberFormat="1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 readingOrder="2"/>
    </xf>
    <xf numFmtId="0" fontId="1" fillId="0" borderId="14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right" vertical="center" wrapText="1" readingOrder="2"/>
    </xf>
    <xf numFmtId="0" fontId="1" fillId="0" borderId="14" xfId="0" applyFont="1" applyBorder="1" applyAlignment="1">
      <alignment horizontal="right" vertical="center" wrapText="1" readingOrder="2"/>
    </xf>
    <xf numFmtId="164" fontId="1" fillId="5" borderId="13" xfId="0" applyNumberFormat="1" applyFont="1" applyFill="1" applyBorder="1" applyAlignment="1">
      <alignment horizontal="center" vertical="center" wrapText="1" readingOrder="2"/>
    </xf>
    <xf numFmtId="164" fontId="1" fillId="0" borderId="13" xfId="0" applyNumberFormat="1" applyFont="1" applyBorder="1" applyAlignment="1">
      <alignment horizontal="right" vertical="center" wrapText="1" readingOrder="2"/>
    </xf>
    <xf numFmtId="164" fontId="1" fillId="0" borderId="13" xfId="0" applyNumberFormat="1" applyFont="1" applyBorder="1" applyAlignment="1">
      <alignment horizontal="center" vertical="center" wrapText="1" readingOrder="2"/>
    </xf>
    <xf numFmtId="0" fontId="1" fillId="0" borderId="13" xfId="0" applyFont="1" applyBorder="1" applyAlignment="1">
      <alignment horizontal="center" vertical="center" wrapText="1" readingOrder="2"/>
    </xf>
    <xf numFmtId="0" fontId="1" fillId="0" borderId="13" xfId="0" applyFont="1" applyBorder="1" applyAlignment="1">
      <alignment horizontal="right" vertical="center" wrapText="1" readingOrder="2"/>
    </xf>
    <xf numFmtId="165" fontId="14" fillId="10" borderId="12" xfId="0" applyNumberFormat="1" applyFont="1" applyFill="1" applyBorder="1" applyAlignment="1">
      <alignment horizontal="center" vertical="center" wrapText="1" readingOrder="2"/>
    </xf>
    <xf numFmtId="165" fontId="14" fillId="10" borderId="13" xfId="0" applyNumberFormat="1" applyFont="1" applyFill="1" applyBorder="1" applyAlignment="1">
      <alignment horizontal="center" vertical="center" wrapText="1" readingOrder="2"/>
    </xf>
    <xf numFmtId="165" fontId="14" fillId="10" borderId="22" xfId="0" applyNumberFormat="1" applyFont="1" applyFill="1" applyBorder="1" applyAlignment="1">
      <alignment horizontal="center" vertical="center" wrapText="1" readingOrder="2"/>
    </xf>
    <xf numFmtId="164" fontId="14" fillId="13" borderId="12" xfId="2" applyNumberFormat="1" applyFont="1" applyFill="1" applyBorder="1" applyAlignment="1" applyProtection="1">
      <alignment horizontal="center" vertical="center" wrapText="1" readingOrder="2"/>
      <protection locked="0"/>
    </xf>
    <xf numFmtId="164" fontId="29" fillId="13" borderId="14" xfId="2" applyNumberFormat="1" applyFont="1" applyFill="1" applyBorder="1" applyAlignment="1" applyProtection="1">
      <alignment readingOrder="2"/>
      <protection locked="0"/>
    </xf>
    <xf numFmtId="164" fontId="30" fillId="5" borderId="12" xfId="0" applyNumberFormat="1" applyFont="1" applyFill="1" applyBorder="1" applyAlignment="1">
      <alignment horizontal="center" vertical="center" wrapText="1" readingOrder="2"/>
    </xf>
    <xf numFmtId="164" fontId="30" fillId="5" borderId="14" xfId="0" applyNumberFormat="1" applyFont="1" applyFill="1" applyBorder="1" applyAlignment="1">
      <alignment horizontal="center" vertical="center" wrapText="1" readingOrder="2"/>
    </xf>
    <xf numFmtId="164" fontId="31" fillId="10" borderId="12" xfId="0" applyNumberFormat="1" applyFont="1" applyFill="1" applyBorder="1" applyAlignment="1">
      <alignment horizontal="center" vertical="center" readingOrder="2"/>
    </xf>
    <xf numFmtId="164" fontId="31" fillId="10" borderId="13" xfId="0" applyNumberFormat="1" applyFont="1" applyFill="1" applyBorder="1" applyAlignment="1">
      <alignment horizontal="center" vertical="center" readingOrder="2"/>
    </xf>
    <xf numFmtId="164" fontId="31" fillId="10" borderId="16" xfId="0" applyNumberFormat="1" applyFont="1" applyFill="1" applyBorder="1" applyAlignment="1">
      <alignment horizontal="center" vertical="center" readingOrder="2"/>
    </xf>
    <xf numFmtId="164" fontId="31" fillId="10" borderId="22" xfId="0" applyNumberFormat="1" applyFont="1" applyFill="1" applyBorder="1" applyAlignment="1">
      <alignment horizontal="center" vertical="center" readingOrder="2"/>
    </xf>
    <xf numFmtId="164" fontId="31" fillId="10" borderId="44" xfId="0" applyNumberFormat="1" applyFont="1" applyFill="1" applyBorder="1" applyAlignment="1">
      <alignment horizontal="center" vertical="center" wrapText="1" readingOrder="2"/>
    </xf>
    <xf numFmtId="164" fontId="31" fillId="10" borderId="21" xfId="0" applyNumberFormat="1" applyFont="1" applyFill="1" applyBorder="1" applyAlignment="1">
      <alignment horizontal="center" vertical="center" wrapText="1" readingOrder="2"/>
    </xf>
    <xf numFmtId="164" fontId="31" fillId="10" borderId="23" xfId="0" applyNumberFormat="1" applyFont="1" applyFill="1" applyBorder="1" applyAlignment="1">
      <alignment horizontal="center" vertical="center" wrapText="1" readingOrder="2"/>
    </xf>
    <xf numFmtId="164" fontId="29" fillId="13" borderId="13" xfId="2" applyNumberFormat="1" applyFont="1" applyFill="1" applyBorder="1" applyAlignment="1" applyProtection="1">
      <alignment readingOrder="2"/>
      <protection locked="0"/>
    </xf>
    <xf numFmtId="164" fontId="30" fillId="5" borderId="13" xfId="0" applyNumberFormat="1" applyFont="1" applyFill="1" applyBorder="1" applyAlignment="1">
      <alignment horizontal="center" vertical="center" wrapText="1" readingOrder="2"/>
    </xf>
    <xf numFmtId="164" fontId="14" fillId="13" borderId="13" xfId="2" applyNumberFormat="1" applyFont="1" applyFill="1" applyBorder="1" applyAlignment="1" applyProtection="1">
      <alignment horizontal="center" vertical="center" wrapText="1" readingOrder="2"/>
      <protection locked="0"/>
    </xf>
    <xf numFmtId="164" fontId="1" fillId="5" borderId="22" xfId="0" applyNumberFormat="1" applyFont="1" applyFill="1" applyBorder="1" applyAlignment="1">
      <alignment horizontal="center" vertical="center" wrapText="1" readingOrder="2"/>
    </xf>
    <xf numFmtId="164" fontId="1" fillId="0" borderId="22" xfId="0" applyNumberFormat="1" applyFont="1" applyBorder="1" applyAlignment="1">
      <alignment horizontal="right" vertical="center" wrapText="1" readingOrder="2"/>
    </xf>
    <xf numFmtId="164" fontId="1" fillId="0" borderId="22" xfId="0" applyNumberFormat="1" applyFont="1" applyBorder="1" applyAlignment="1">
      <alignment horizontal="center" vertical="center" wrapText="1" readingOrder="2"/>
    </xf>
    <xf numFmtId="0" fontId="1" fillId="0" borderId="22" xfId="0" applyFont="1" applyBorder="1" applyAlignment="1">
      <alignment horizontal="center" vertical="center" wrapText="1" readingOrder="2"/>
    </xf>
    <xf numFmtId="0" fontId="1" fillId="0" borderId="22" xfId="0" applyFont="1" applyBorder="1" applyAlignment="1">
      <alignment horizontal="right" vertical="center" wrapText="1" readingOrder="2"/>
    </xf>
    <xf numFmtId="164" fontId="30" fillId="5" borderId="22" xfId="0" applyNumberFormat="1" applyFont="1" applyFill="1" applyBorder="1" applyAlignment="1">
      <alignment horizontal="center" vertical="center" wrapText="1" readingOrder="2"/>
    </xf>
    <xf numFmtId="165" fontId="7" fillId="12" borderId="38" xfId="0" applyNumberFormat="1" applyFont="1" applyFill="1" applyBorder="1" applyAlignment="1">
      <alignment horizontal="center" vertical="center" readingOrder="2"/>
    </xf>
    <xf numFmtId="165" fontId="7" fillId="12" borderId="15" xfId="0" applyNumberFormat="1" applyFont="1" applyFill="1" applyBorder="1" applyAlignment="1">
      <alignment horizontal="center" vertical="center" readingOrder="2"/>
    </xf>
    <xf numFmtId="164" fontId="22" fillId="12" borderId="38" xfId="0" applyNumberFormat="1" applyFont="1" applyFill="1" applyBorder="1" applyAlignment="1">
      <alignment horizontal="center" vertical="center" readingOrder="2"/>
    </xf>
    <xf numFmtId="164" fontId="22" fillId="12" borderId="15" xfId="0" applyNumberFormat="1" applyFont="1" applyFill="1" applyBorder="1" applyAlignment="1">
      <alignment horizontal="center" vertical="center" readingOrder="2"/>
    </xf>
    <xf numFmtId="164" fontId="7" fillId="12" borderId="24" xfId="0" applyNumberFormat="1" applyFont="1" applyFill="1" applyBorder="1" applyAlignment="1">
      <alignment horizontal="center" vertical="center" wrapText="1" readingOrder="2"/>
    </xf>
    <xf numFmtId="164" fontId="7" fillId="12" borderId="25" xfId="0" applyNumberFormat="1" applyFont="1" applyFill="1" applyBorder="1" applyAlignment="1">
      <alignment horizontal="center" vertical="center" wrapText="1" readingOrder="2"/>
    </xf>
    <xf numFmtId="164" fontId="1" fillId="5" borderId="18" xfId="0" applyNumberFormat="1" applyFont="1" applyFill="1" applyBorder="1" applyAlignment="1">
      <alignment horizontal="center" vertical="center" wrapText="1" readingOrder="2"/>
    </xf>
    <xf numFmtId="164" fontId="1" fillId="0" borderId="18" xfId="0" applyNumberFormat="1" applyFont="1" applyBorder="1" applyAlignment="1">
      <alignment horizontal="right" vertical="center" wrapText="1" readingOrder="2"/>
    </xf>
    <xf numFmtId="164" fontId="1" fillId="0" borderId="18" xfId="0" applyNumberFormat="1" applyFont="1" applyBorder="1" applyAlignment="1">
      <alignment horizontal="center" vertical="center" wrapText="1" readingOrder="2"/>
    </xf>
    <xf numFmtId="0" fontId="1" fillId="0" borderId="18" xfId="0" applyFont="1" applyBorder="1" applyAlignment="1">
      <alignment horizontal="center" vertical="center" wrapText="1" readingOrder="2"/>
    </xf>
    <xf numFmtId="0" fontId="1" fillId="0" borderId="18" xfId="0" applyFont="1" applyBorder="1" applyAlignment="1">
      <alignment horizontal="right" vertical="center" wrapText="1" readingOrder="2"/>
    </xf>
    <xf numFmtId="164" fontId="1" fillId="6" borderId="13" xfId="0" applyNumberFormat="1" applyFont="1" applyFill="1" applyBorder="1" applyAlignment="1">
      <alignment horizontal="center" vertical="center" wrapText="1" readingOrder="2"/>
    </xf>
    <xf numFmtId="164" fontId="14" fillId="13" borderId="18" xfId="2" applyNumberFormat="1" applyFont="1" applyFill="1" applyBorder="1" applyAlignment="1" applyProtection="1">
      <alignment horizontal="center" vertical="center" wrapText="1" readingOrder="2"/>
      <protection locked="0"/>
    </xf>
    <xf numFmtId="0" fontId="1" fillId="0" borderId="15" xfId="0" applyFont="1" applyBorder="1" applyAlignment="1">
      <alignment horizontal="center" vertical="center" wrapText="1" readingOrder="2"/>
    </xf>
    <xf numFmtId="164" fontId="7" fillId="12" borderId="15" xfId="0" applyNumberFormat="1" applyFont="1" applyFill="1" applyBorder="1" applyAlignment="1">
      <alignment horizontal="center" vertical="center" readingOrder="2"/>
    </xf>
    <xf numFmtId="164" fontId="7" fillId="12" borderId="45" xfId="0" applyNumberFormat="1" applyFont="1" applyFill="1" applyBorder="1" applyAlignment="1">
      <alignment horizontal="center" vertical="center" readingOrder="2"/>
    </xf>
    <xf numFmtId="164" fontId="7" fillId="12" borderId="26" xfId="0" applyNumberFormat="1" applyFont="1" applyFill="1" applyBorder="1" applyAlignment="1">
      <alignment horizontal="center" vertical="center" wrapText="1" readingOrder="2"/>
    </xf>
    <xf numFmtId="164" fontId="29" fillId="13" borderId="22" xfId="2" applyNumberFormat="1" applyFont="1" applyFill="1" applyBorder="1" applyAlignment="1" applyProtection="1">
      <alignment readingOrder="2"/>
      <protection locked="0"/>
    </xf>
    <xf numFmtId="164" fontId="30" fillId="5" borderId="18" xfId="0" applyNumberFormat="1" applyFont="1" applyFill="1" applyBorder="1" applyAlignment="1">
      <alignment horizontal="center" vertical="center" wrapText="1" readingOrder="2"/>
    </xf>
    <xf numFmtId="164" fontId="31" fillId="12" borderId="18" xfId="0" applyNumberFormat="1" applyFont="1" applyFill="1" applyBorder="1" applyAlignment="1">
      <alignment horizontal="center" vertical="center" readingOrder="2"/>
    </xf>
    <xf numFmtId="164" fontId="31" fillId="12" borderId="13" xfId="0" applyNumberFormat="1" applyFont="1" applyFill="1" applyBorder="1" applyAlignment="1">
      <alignment horizontal="center" vertical="center" readingOrder="2"/>
    </xf>
    <xf numFmtId="164" fontId="31" fillId="12" borderId="20" xfId="0" applyNumberFormat="1" applyFont="1" applyFill="1" applyBorder="1" applyAlignment="1">
      <alignment horizontal="center" vertical="center" readingOrder="2"/>
    </xf>
    <xf numFmtId="164" fontId="31" fillId="12" borderId="21" xfId="0" applyNumberFormat="1" applyFont="1" applyFill="1" applyBorder="1" applyAlignment="1">
      <alignment horizontal="center" vertical="center" readingOrder="2"/>
    </xf>
    <xf numFmtId="164" fontId="31" fillId="12" borderId="23" xfId="0" applyNumberFormat="1" applyFont="1" applyFill="1" applyBorder="1" applyAlignment="1">
      <alignment horizontal="center" vertical="center" readingOrder="2"/>
    </xf>
    <xf numFmtId="164" fontId="31" fillId="12" borderId="22" xfId="0" applyNumberFormat="1" applyFont="1" applyFill="1" applyBorder="1" applyAlignment="1">
      <alignment horizontal="center" vertical="center" readingOrder="2"/>
    </xf>
    <xf numFmtId="164" fontId="1" fillId="20" borderId="13" xfId="0" applyNumberFormat="1" applyFont="1" applyFill="1" applyBorder="1" applyAlignment="1">
      <alignment horizontal="center" vertical="center" wrapText="1" readingOrder="2"/>
    </xf>
    <xf numFmtId="164" fontId="1" fillId="20" borderId="22" xfId="0" applyNumberFormat="1" applyFont="1" applyFill="1" applyBorder="1" applyAlignment="1">
      <alignment horizontal="center" vertical="center" wrapText="1" readingOrder="2"/>
    </xf>
    <xf numFmtId="164" fontId="1" fillId="20" borderId="13" xfId="0" applyNumberFormat="1" applyFont="1" applyFill="1" applyBorder="1" applyAlignment="1">
      <alignment horizontal="right" vertical="center" wrapText="1" readingOrder="2"/>
    </xf>
    <xf numFmtId="164" fontId="1" fillId="20" borderId="22" xfId="0" applyNumberFormat="1" applyFont="1" applyFill="1" applyBorder="1" applyAlignment="1">
      <alignment horizontal="right" vertical="center" wrapText="1" readingOrder="2"/>
    </xf>
    <xf numFmtId="0" fontId="1" fillId="20" borderId="13" xfId="0" applyFont="1" applyFill="1" applyBorder="1" applyAlignment="1">
      <alignment horizontal="center" vertical="center" wrapText="1" readingOrder="2"/>
    </xf>
    <xf numFmtId="0" fontId="1" fillId="20" borderId="22" xfId="0" applyFont="1" applyFill="1" applyBorder="1" applyAlignment="1">
      <alignment horizontal="center" vertical="center" wrapText="1" readingOrder="2"/>
    </xf>
    <xf numFmtId="0" fontId="1" fillId="20" borderId="13" xfId="0" applyFont="1" applyFill="1" applyBorder="1" applyAlignment="1">
      <alignment horizontal="right" vertical="center" wrapText="1" readingOrder="2"/>
    </xf>
    <xf numFmtId="0" fontId="1" fillId="20" borderId="22" xfId="0" applyFont="1" applyFill="1" applyBorder="1" applyAlignment="1">
      <alignment horizontal="right" vertical="center" wrapText="1" readingOrder="2"/>
    </xf>
    <xf numFmtId="164" fontId="31" fillId="10" borderId="18" xfId="0" applyNumberFormat="1" applyFont="1" applyFill="1" applyBorder="1" applyAlignment="1">
      <alignment horizontal="center" vertical="center" readingOrder="2"/>
    </xf>
    <xf numFmtId="165" fontId="7" fillId="12" borderId="45" xfId="0" applyNumberFormat="1" applyFont="1" applyFill="1" applyBorder="1" applyAlignment="1">
      <alignment horizontal="center" vertical="center" readingOrder="2"/>
    </xf>
    <xf numFmtId="165" fontId="7" fillId="10" borderId="18" xfId="0" applyNumberFormat="1" applyFont="1" applyFill="1" applyBorder="1" applyAlignment="1">
      <alignment horizontal="center" vertical="center" readingOrder="2"/>
    </xf>
    <xf numFmtId="165" fontId="7" fillId="10" borderId="13" xfId="0" applyNumberFormat="1" applyFont="1" applyFill="1" applyBorder="1" applyAlignment="1">
      <alignment horizontal="center" vertical="center" readingOrder="2"/>
    </xf>
    <xf numFmtId="165" fontId="7" fillId="10" borderId="22" xfId="0" applyNumberFormat="1" applyFont="1" applyFill="1" applyBorder="1" applyAlignment="1">
      <alignment horizontal="center" vertical="center" readingOrder="2"/>
    </xf>
    <xf numFmtId="164" fontId="7" fillId="12" borderId="24" xfId="0" applyNumberFormat="1" applyFont="1" applyFill="1" applyBorder="1" applyAlignment="1">
      <alignment horizontal="center" vertical="center" readingOrder="2"/>
    </xf>
    <xf numFmtId="164" fontId="7" fillId="12" borderId="25" xfId="0" applyNumberFormat="1" applyFont="1" applyFill="1" applyBorder="1" applyAlignment="1">
      <alignment horizontal="center" vertical="center" readingOrder="2"/>
    </xf>
    <xf numFmtId="164" fontId="7" fillId="12" borderId="26" xfId="0" applyNumberFormat="1" applyFont="1" applyFill="1" applyBorder="1" applyAlignment="1">
      <alignment horizontal="center" vertical="center" readingOrder="2"/>
    </xf>
    <xf numFmtId="164" fontId="30" fillId="9" borderId="13" xfId="0" applyNumberFormat="1" applyFont="1" applyFill="1" applyBorder="1" applyAlignment="1">
      <alignment horizontal="center" vertical="center" wrapText="1" readingOrder="2"/>
    </xf>
    <xf numFmtId="164" fontId="31" fillId="10" borderId="20" xfId="0" applyNumberFormat="1" applyFont="1" applyFill="1" applyBorder="1" applyAlignment="1">
      <alignment horizontal="center" vertical="center" readingOrder="2"/>
    </xf>
    <xf numFmtId="164" fontId="31" fillId="10" borderId="21" xfId="0" applyNumberFormat="1" applyFont="1" applyFill="1" applyBorder="1" applyAlignment="1">
      <alignment horizontal="center" vertical="center" readingOrder="2"/>
    </xf>
    <xf numFmtId="164" fontId="31" fillId="10" borderId="23" xfId="0" applyNumberFormat="1" applyFont="1" applyFill="1" applyBorder="1" applyAlignment="1">
      <alignment horizontal="center" vertical="center" readingOrder="2"/>
    </xf>
    <xf numFmtId="164" fontId="38" fillId="10" borderId="24" xfId="0" applyNumberFormat="1" applyFont="1" applyFill="1" applyBorder="1" applyAlignment="1">
      <alignment horizontal="center" vertical="center" readingOrder="2"/>
    </xf>
    <xf numFmtId="164" fontId="38" fillId="10" borderId="25" xfId="0" applyNumberFormat="1" applyFont="1" applyFill="1" applyBorder="1" applyAlignment="1">
      <alignment horizontal="center" vertical="center" readingOrder="2"/>
    </xf>
    <xf numFmtId="164" fontId="38" fillId="10" borderId="26" xfId="0" applyNumberFormat="1" applyFont="1" applyFill="1" applyBorder="1" applyAlignment="1">
      <alignment horizontal="center" vertical="center" readingOrder="2"/>
    </xf>
    <xf numFmtId="0" fontId="7" fillId="10" borderId="18" xfId="0" applyFont="1" applyFill="1" applyBorder="1" applyAlignment="1">
      <alignment horizontal="center" vertical="center" wrapText="1" readingOrder="2"/>
    </xf>
    <xf numFmtId="0" fontId="7" fillId="10" borderId="13" xfId="0" applyFont="1" applyFill="1" applyBorder="1" applyAlignment="1">
      <alignment horizontal="center" vertical="center" wrapText="1" readingOrder="2"/>
    </xf>
    <xf numFmtId="0" fontId="7" fillId="10" borderId="22" xfId="0" applyFont="1" applyFill="1" applyBorder="1" applyAlignment="1">
      <alignment horizontal="center" vertical="center" wrapText="1" readingOrder="2"/>
    </xf>
    <xf numFmtId="164" fontId="7" fillId="10" borderId="18" xfId="0" applyNumberFormat="1" applyFont="1" applyFill="1" applyBorder="1" applyAlignment="1">
      <alignment horizontal="center" vertical="center" readingOrder="2"/>
    </xf>
    <xf numFmtId="164" fontId="7" fillId="10" borderId="13" xfId="0" applyNumberFormat="1" applyFont="1" applyFill="1" applyBorder="1" applyAlignment="1">
      <alignment horizontal="center" vertical="center" readingOrder="2"/>
    </xf>
    <xf numFmtId="164" fontId="7" fillId="10" borderId="22" xfId="0" applyNumberFormat="1" applyFont="1" applyFill="1" applyBorder="1" applyAlignment="1">
      <alignment horizontal="center" vertical="center" readingOrder="2"/>
    </xf>
    <xf numFmtId="164" fontId="38" fillId="12" borderId="24" xfId="0" applyNumberFormat="1" applyFont="1" applyFill="1" applyBorder="1" applyAlignment="1">
      <alignment horizontal="center" vertical="center" readingOrder="2"/>
    </xf>
    <xf numFmtId="164" fontId="38" fillId="12" borderId="25" xfId="0" applyNumberFormat="1" applyFont="1" applyFill="1" applyBorder="1" applyAlignment="1">
      <alignment horizontal="center" vertical="center" readingOrder="2"/>
    </xf>
    <xf numFmtId="164" fontId="38" fillId="12" borderId="26" xfId="0" applyNumberFormat="1" applyFont="1" applyFill="1" applyBorder="1" applyAlignment="1">
      <alignment horizontal="center" vertical="center" readingOrder="2"/>
    </xf>
    <xf numFmtId="164" fontId="7" fillId="12" borderId="18" xfId="0" applyNumberFormat="1" applyFont="1" applyFill="1" applyBorder="1" applyAlignment="1">
      <alignment horizontal="center" vertical="center" readingOrder="2"/>
    </xf>
    <xf numFmtId="164" fontId="7" fillId="12" borderId="13" xfId="0" applyNumberFormat="1" applyFont="1" applyFill="1" applyBorder="1" applyAlignment="1">
      <alignment horizontal="center" vertical="center" readingOrder="2"/>
    </xf>
    <xf numFmtId="164" fontId="7" fillId="12" borderId="22" xfId="0" applyNumberFormat="1" applyFont="1" applyFill="1" applyBorder="1" applyAlignment="1">
      <alignment horizontal="center" vertical="center" readingOrder="2"/>
    </xf>
    <xf numFmtId="164" fontId="7" fillId="12" borderId="18" xfId="0" applyNumberFormat="1" applyFont="1" applyFill="1" applyBorder="1" applyAlignment="1">
      <alignment horizontal="center" vertical="center" wrapText="1" readingOrder="2"/>
    </xf>
    <xf numFmtId="164" fontId="7" fillId="12" borderId="13" xfId="0" applyNumberFormat="1" applyFont="1" applyFill="1" applyBorder="1" applyAlignment="1">
      <alignment horizontal="center" vertical="center" wrapText="1" readingOrder="2"/>
    </xf>
    <xf numFmtId="164" fontId="7" fillId="12" borderId="22" xfId="0" applyNumberFormat="1" applyFont="1" applyFill="1" applyBorder="1" applyAlignment="1">
      <alignment horizontal="center" vertical="center" wrapText="1" readingOrder="2"/>
    </xf>
    <xf numFmtId="165" fontId="7" fillId="12" borderId="18" xfId="0" applyNumberFormat="1" applyFont="1" applyFill="1" applyBorder="1" applyAlignment="1">
      <alignment horizontal="center" vertical="center" readingOrder="2"/>
    </xf>
    <xf numFmtId="165" fontId="7" fillId="12" borderId="13" xfId="0" applyNumberFormat="1" applyFont="1" applyFill="1" applyBorder="1" applyAlignment="1">
      <alignment horizontal="center" vertical="center" readingOrder="2"/>
    </xf>
    <xf numFmtId="165" fontId="7" fillId="12" borderId="22" xfId="0" applyNumberFormat="1" applyFont="1" applyFill="1" applyBorder="1" applyAlignment="1">
      <alignment horizontal="center" vertical="center" readingOrder="2"/>
    </xf>
    <xf numFmtId="0" fontId="33" fillId="0" borderId="4" xfId="0" applyFont="1" applyBorder="1" applyAlignment="1">
      <alignment horizontal="center" readingOrder="2"/>
    </xf>
    <xf numFmtId="0" fontId="34" fillId="0" borderId="4" xfId="0" applyFont="1" applyBorder="1" applyAlignment="1">
      <alignment horizontal="center" readingOrder="2"/>
    </xf>
    <xf numFmtId="0" fontId="14" fillId="10" borderId="43" xfId="0" applyFont="1" applyFill="1" applyBorder="1" applyAlignment="1">
      <alignment horizontal="center" vertical="center" wrapText="1" readingOrder="2"/>
    </xf>
    <xf numFmtId="0" fontId="14" fillId="10" borderId="25" xfId="0" applyFont="1" applyFill="1" applyBorder="1" applyAlignment="1">
      <alignment horizontal="center" vertical="center" wrapText="1" readingOrder="2"/>
    </xf>
    <xf numFmtId="0" fontId="14" fillId="10" borderId="26" xfId="0" applyFont="1" applyFill="1" applyBorder="1" applyAlignment="1">
      <alignment horizontal="center" vertical="center" wrapText="1" readingOrder="2"/>
    </xf>
    <xf numFmtId="0" fontId="7" fillId="12" borderId="24" xfId="0" applyFont="1" applyFill="1" applyBorder="1" applyAlignment="1">
      <alignment horizontal="center" vertical="center" wrapText="1" readingOrder="2"/>
    </xf>
    <xf numFmtId="0" fontId="7" fillId="12" borderId="25" xfId="0" applyFont="1" applyFill="1" applyBorder="1" applyAlignment="1">
      <alignment horizontal="center" vertical="center" wrapText="1" readingOrder="2"/>
    </xf>
    <xf numFmtId="0" fontId="7" fillId="12" borderId="26" xfId="0" applyFont="1" applyFill="1" applyBorder="1" applyAlignment="1">
      <alignment horizontal="center" vertical="center" wrapText="1" readingOrder="2"/>
    </xf>
    <xf numFmtId="0" fontId="7" fillId="10" borderId="24" xfId="0" applyFont="1" applyFill="1" applyBorder="1" applyAlignment="1">
      <alignment horizontal="center" vertical="center" wrapText="1" readingOrder="2"/>
    </xf>
    <xf numFmtId="0" fontId="7" fillId="10" borderId="25" xfId="0" applyFont="1" applyFill="1" applyBorder="1" applyAlignment="1">
      <alignment horizontal="center" vertical="center" wrapText="1" readingOrder="2"/>
    </xf>
    <xf numFmtId="0" fontId="7" fillId="10" borderId="26" xfId="0" applyFont="1" applyFill="1" applyBorder="1" applyAlignment="1">
      <alignment horizontal="center" vertical="center" wrapText="1" readingOrder="2"/>
    </xf>
    <xf numFmtId="0" fontId="39" fillId="22" borderId="0" xfId="0" applyFont="1" applyFill="1" applyAlignment="1">
      <alignment horizontal="center" vertical="center"/>
    </xf>
    <xf numFmtId="0" fontId="60" fillId="4" borderId="0" xfId="0" applyFont="1" applyFill="1" applyAlignment="1">
      <alignment horizontal="center" vertical="center" wrapText="1"/>
    </xf>
    <xf numFmtId="167" fontId="53" fillId="0" borderId="0" xfId="0" applyNumberFormat="1" applyFont="1" applyAlignment="1">
      <alignment horizontal="center" vertical="center" wrapText="1"/>
    </xf>
    <xf numFmtId="0" fontId="22" fillId="22" borderId="14" xfId="0" applyFont="1" applyFill="1" applyBorder="1" applyAlignment="1">
      <alignment horizontal="center" vertical="center" wrapText="1"/>
    </xf>
    <xf numFmtId="0" fontId="22" fillId="22" borderId="12" xfId="0" applyFont="1" applyFill="1" applyBorder="1" applyAlignment="1">
      <alignment horizontal="center" vertical="center" wrapText="1"/>
    </xf>
    <xf numFmtId="164" fontId="26" fillId="22" borderId="19" xfId="1" applyNumberFormat="1" applyFont="1" applyFill="1" applyBorder="1" applyAlignment="1" applyProtection="1">
      <alignment horizontal="center" vertical="center" wrapText="1"/>
    </xf>
    <xf numFmtId="164" fontId="26" fillId="22" borderId="11" xfId="1" applyNumberFormat="1" applyFont="1" applyFill="1" applyBorder="1" applyAlignment="1" applyProtection="1">
      <alignment horizontal="center" vertical="center" wrapText="1"/>
    </xf>
    <xf numFmtId="164" fontId="26" fillId="22" borderId="17" xfId="1" applyNumberFormat="1" applyFont="1" applyFill="1" applyBorder="1" applyAlignment="1" applyProtection="1">
      <alignment horizontal="center" vertical="center" wrapText="1"/>
    </xf>
    <xf numFmtId="164" fontId="26" fillId="22" borderId="27" xfId="1" applyNumberFormat="1" applyFont="1" applyFill="1" applyBorder="1" applyAlignment="1" applyProtection="1">
      <alignment horizontal="center" vertical="center" wrapText="1"/>
    </xf>
    <xf numFmtId="164" fontId="26" fillId="22" borderId="29" xfId="1" applyNumberFormat="1" applyFont="1" applyFill="1" applyBorder="1" applyAlignment="1" applyProtection="1">
      <alignment horizontal="center" vertical="center" wrapText="1"/>
    </xf>
    <xf numFmtId="164" fontId="26" fillId="22" borderId="32" xfId="1" applyNumberFormat="1" applyFont="1" applyFill="1" applyBorder="1" applyAlignment="1" applyProtection="1">
      <alignment horizontal="center" vertical="center" wrapText="1"/>
    </xf>
    <xf numFmtId="0" fontId="22" fillId="22" borderId="19" xfId="0" applyFont="1" applyFill="1" applyBorder="1" applyAlignment="1">
      <alignment horizontal="center" vertical="center" wrapText="1"/>
    </xf>
    <xf numFmtId="0" fontId="22" fillId="22" borderId="11" xfId="0" applyFont="1" applyFill="1" applyBorder="1" applyAlignment="1">
      <alignment horizontal="center" vertical="center" wrapText="1"/>
    </xf>
    <xf numFmtId="0" fontId="22" fillId="22" borderId="17" xfId="0" applyFont="1" applyFill="1" applyBorder="1" applyAlignment="1">
      <alignment horizontal="center" vertical="center" wrapText="1"/>
    </xf>
    <xf numFmtId="0" fontId="7" fillId="22" borderId="52" xfId="0" applyFont="1" applyFill="1" applyBorder="1" applyAlignment="1">
      <alignment horizontal="center" vertical="center" wrapText="1"/>
    </xf>
    <xf numFmtId="0" fontId="7" fillId="22" borderId="53" xfId="0" applyFont="1" applyFill="1" applyBorder="1" applyAlignment="1">
      <alignment horizontal="center" vertical="center" wrapText="1"/>
    </xf>
    <xf numFmtId="164" fontId="27" fillId="22" borderId="11" xfId="0" applyNumberFormat="1" applyFont="1" applyFill="1" applyBorder="1" applyAlignment="1">
      <alignment horizontal="center" vertical="center" wrapText="1"/>
    </xf>
    <xf numFmtId="164" fontId="27" fillId="22" borderId="54" xfId="0" applyNumberFormat="1" applyFont="1" applyFill="1" applyBorder="1" applyAlignment="1">
      <alignment horizontal="center" vertical="center" wrapText="1"/>
    </xf>
    <xf numFmtId="0" fontId="7" fillId="22" borderId="11" xfId="0" applyFont="1" applyFill="1" applyBorder="1" applyAlignment="1">
      <alignment horizontal="center" vertical="center" wrapText="1"/>
    </xf>
    <xf numFmtId="0" fontId="7" fillId="22" borderId="54" xfId="0" applyFont="1" applyFill="1" applyBorder="1" applyAlignment="1">
      <alignment horizontal="center" vertical="center" wrapText="1"/>
    </xf>
    <xf numFmtId="165" fontId="25" fillId="22" borderId="35" xfId="1" applyNumberFormat="1" applyFont="1" applyFill="1" applyBorder="1" applyAlignment="1" applyProtection="1">
      <alignment horizontal="center" vertical="center" wrapText="1" readingOrder="2"/>
    </xf>
    <xf numFmtId="165" fontId="25" fillId="22" borderId="59" xfId="1" applyNumberFormat="1" applyFont="1" applyFill="1" applyBorder="1" applyAlignment="1" applyProtection="1">
      <alignment horizontal="center" vertical="center" wrapText="1" readingOrder="2"/>
    </xf>
    <xf numFmtId="164" fontId="26" fillId="22" borderId="29" xfId="0" applyNumberFormat="1" applyFont="1" applyFill="1" applyBorder="1" applyAlignment="1">
      <alignment horizontal="center" vertical="center" wrapText="1"/>
    </xf>
    <xf numFmtId="164" fontId="26" fillId="22" borderId="32" xfId="0" applyNumberFormat="1" applyFont="1" applyFill="1" applyBorder="1" applyAlignment="1">
      <alignment horizontal="center" vertical="center" wrapText="1"/>
    </xf>
    <xf numFmtId="164" fontId="26" fillId="22" borderId="11" xfId="0" applyNumberFormat="1" applyFont="1" applyFill="1" applyBorder="1" applyAlignment="1">
      <alignment horizontal="center" vertical="center" wrapText="1"/>
    </xf>
    <xf numFmtId="164" fontId="26" fillId="22" borderId="17" xfId="0" applyNumberFormat="1" applyFont="1" applyFill="1" applyBorder="1" applyAlignment="1">
      <alignment horizontal="center" vertical="center" wrapText="1"/>
    </xf>
    <xf numFmtId="164" fontId="26" fillId="22" borderId="27" xfId="0" applyNumberFormat="1" applyFont="1" applyFill="1" applyBorder="1" applyAlignment="1">
      <alignment horizontal="center" vertical="center" wrapText="1"/>
    </xf>
    <xf numFmtId="164" fontId="26" fillId="22" borderId="19" xfId="0" applyNumberFormat="1" applyFont="1" applyFill="1" applyBorder="1" applyAlignment="1">
      <alignment horizontal="center" vertical="center" wrapText="1"/>
    </xf>
    <xf numFmtId="0" fontId="7" fillId="22" borderId="51" xfId="0" applyFont="1" applyFill="1" applyBorder="1" applyAlignment="1">
      <alignment horizontal="center" vertical="center" wrapText="1"/>
    </xf>
    <xf numFmtId="165" fontId="25" fillId="22" borderId="58" xfId="1" applyNumberFormat="1" applyFont="1" applyFill="1" applyBorder="1" applyAlignment="1" applyProtection="1">
      <alignment horizontal="center" vertical="center" wrapText="1" readingOrder="2"/>
    </xf>
    <xf numFmtId="0" fontId="22" fillId="22" borderId="19" xfId="0" applyFont="1" applyFill="1" applyBorder="1" applyAlignment="1">
      <alignment horizontal="center" vertical="center"/>
    </xf>
    <xf numFmtId="0" fontId="22" fillId="22" borderId="11" xfId="0" applyFont="1" applyFill="1" applyBorder="1" applyAlignment="1">
      <alignment horizontal="center" vertical="center"/>
    </xf>
    <xf numFmtId="0" fontId="22" fillId="22" borderId="12" xfId="0" applyFont="1" applyFill="1" applyBorder="1" applyAlignment="1">
      <alignment horizontal="center" vertical="center"/>
    </xf>
    <xf numFmtId="0" fontId="22" fillId="22" borderId="14" xfId="0" applyFont="1" applyFill="1" applyBorder="1" applyAlignment="1">
      <alignment horizontal="center" vertical="center"/>
    </xf>
    <xf numFmtId="0" fontId="22" fillId="22" borderId="17" xfId="0" applyFont="1" applyFill="1" applyBorder="1" applyAlignment="1">
      <alignment horizontal="center" vertical="center"/>
    </xf>
    <xf numFmtId="9" fontId="7" fillId="22" borderId="50" xfId="1" applyFont="1" applyFill="1" applyBorder="1" applyAlignment="1" applyProtection="1">
      <alignment horizontal="center" vertical="center" wrapText="1"/>
    </xf>
    <xf numFmtId="9" fontId="7" fillId="22" borderId="52" xfId="1" applyFont="1" applyFill="1" applyBorder="1" applyAlignment="1" applyProtection="1">
      <alignment horizontal="center" vertical="center" wrapText="1"/>
    </xf>
    <xf numFmtId="9" fontId="7" fillId="22" borderId="53" xfId="1" applyFont="1" applyFill="1" applyBorder="1" applyAlignment="1" applyProtection="1">
      <alignment horizontal="center" vertical="center" wrapText="1"/>
    </xf>
    <xf numFmtId="164" fontId="27" fillId="22" borderId="51" xfId="1" applyNumberFormat="1" applyFont="1" applyFill="1" applyBorder="1" applyAlignment="1" applyProtection="1">
      <alignment horizontal="center" vertical="center" wrapText="1"/>
    </xf>
    <xf numFmtId="164" fontId="27" fillId="22" borderId="11" xfId="1" applyNumberFormat="1" applyFont="1" applyFill="1" applyBorder="1" applyAlignment="1" applyProtection="1">
      <alignment horizontal="center" vertical="center" wrapText="1"/>
    </xf>
    <xf numFmtId="164" fontId="27" fillId="22" borderId="54" xfId="1" applyNumberFormat="1" applyFont="1" applyFill="1" applyBorder="1" applyAlignment="1" applyProtection="1">
      <alignment horizontal="center" vertical="center" wrapText="1"/>
    </xf>
    <xf numFmtId="9" fontId="7" fillId="22" borderId="51" xfId="1" applyFont="1" applyFill="1" applyBorder="1" applyAlignment="1" applyProtection="1">
      <alignment horizontal="center" vertical="center" wrapText="1"/>
    </xf>
    <xf numFmtId="9" fontId="7" fillId="22" borderId="11" xfId="1" applyFont="1" applyFill="1" applyBorder="1" applyAlignment="1" applyProtection="1">
      <alignment horizontal="center" vertical="center" wrapText="1"/>
    </xf>
    <xf numFmtId="9" fontId="7" fillId="22" borderId="54" xfId="1" applyFont="1" applyFill="1" applyBorder="1" applyAlignment="1" applyProtection="1">
      <alignment horizontal="center" vertical="center" wrapText="1"/>
    </xf>
    <xf numFmtId="164" fontId="26" fillId="22" borderId="72" xfId="1" applyNumberFormat="1" applyFont="1" applyFill="1" applyBorder="1" applyAlignment="1" applyProtection="1">
      <alignment horizontal="center" vertical="center" wrapText="1"/>
    </xf>
    <xf numFmtId="164" fontId="26" fillId="22" borderId="54" xfId="1" applyNumberFormat="1" applyFont="1" applyFill="1" applyBorder="1" applyAlignment="1" applyProtection="1">
      <alignment horizontal="center" vertical="center" wrapText="1"/>
    </xf>
    <xf numFmtId="164" fontId="23" fillId="22" borderId="18" xfId="0" applyNumberFormat="1" applyFont="1" applyFill="1" applyBorder="1" applyAlignment="1">
      <alignment horizontal="center" vertical="center" wrapText="1"/>
    </xf>
    <xf numFmtId="164" fontId="23" fillId="22" borderId="22" xfId="0" applyNumberFormat="1" applyFont="1" applyFill="1" applyBorder="1" applyAlignment="1">
      <alignment horizontal="center" vertical="center" wrapText="1"/>
    </xf>
    <xf numFmtId="164" fontId="23" fillId="22" borderId="19" xfId="0" applyNumberFormat="1" applyFont="1" applyFill="1" applyBorder="1" applyAlignment="1">
      <alignment horizontal="center" vertical="center" wrapText="1"/>
    </xf>
    <xf numFmtId="164" fontId="23" fillId="22" borderId="12" xfId="0" applyNumberFormat="1" applyFont="1" applyFill="1" applyBorder="1" applyAlignment="1">
      <alignment horizontal="center" vertical="center" wrapText="1"/>
    </xf>
    <xf numFmtId="0" fontId="22" fillId="22" borderId="19" xfId="0" applyFont="1" applyFill="1" applyBorder="1" applyAlignment="1">
      <alignment horizontal="center" vertical="center" wrapText="1" readingOrder="2"/>
    </xf>
    <xf numFmtId="0" fontId="22" fillId="22" borderId="11" xfId="0" applyFont="1" applyFill="1" applyBorder="1" applyAlignment="1">
      <alignment horizontal="center" vertical="center" wrapText="1" readingOrder="2"/>
    </xf>
    <xf numFmtId="0" fontId="22" fillId="22" borderId="17" xfId="0" applyFont="1" applyFill="1" applyBorder="1" applyAlignment="1">
      <alignment horizontal="center" vertical="center" wrapText="1" readingOrder="2"/>
    </xf>
    <xf numFmtId="164" fontId="23" fillId="22" borderId="18" xfId="0" applyNumberFormat="1" applyFont="1" applyFill="1" applyBorder="1" applyAlignment="1">
      <alignment horizontal="center" vertical="center"/>
    </xf>
    <xf numFmtId="164" fontId="23" fillId="22" borderId="22" xfId="0" applyNumberFormat="1" applyFont="1" applyFill="1" applyBorder="1" applyAlignment="1">
      <alignment horizontal="center" vertical="center"/>
    </xf>
    <xf numFmtId="164" fontId="23" fillId="22" borderId="17" xfId="0" applyNumberFormat="1" applyFont="1" applyFill="1" applyBorder="1" applyAlignment="1">
      <alignment horizontal="center" vertical="center" wrapText="1"/>
    </xf>
    <xf numFmtId="164" fontId="23" fillId="22" borderId="13" xfId="0" applyNumberFormat="1" applyFont="1" applyFill="1" applyBorder="1" applyAlignment="1">
      <alignment horizontal="center" vertical="center"/>
    </xf>
    <xf numFmtId="164" fontId="23" fillId="22" borderId="13" xfId="0" applyNumberFormat="1" applyFont="1" applyFill="1" applyBorder="1" applyAlignment="1">
      <alignment horizontal="center" vertical="center" wrapText="1"/>
    </xf>
    <xf numFmtId="0" fontId="17" fillId="22" borderId="50" xfId="0" applyFont="1" applyFill="1" applyBorder="1" applyAlignment="1">
      <alignment horizontal="center" vertical="center" wrapText="1"/>
    </xf>
    <xf numFmtId="0" fontId="17" fillId="22" borderId="52" xfId="0" applyFont="1" applyFill="1" applyBorder="1" applyAlignment="1">
      <alignment horizontal="center" vertical="center" wrapText="1"/>
    </xf>
    <xf numFmtId="0" fontId="17" fillId="22" borderId="53" xfId="0" applyFont="1" applyFill="1" applyBorder="1" applyAlignment="1">
      <alignment horizontal="center" vertical="center" wrapText="1"/>
    </xf>
    <xf numFmtId="164" fontId="27" fillId="22" borderId="51" xfId="0" applyNumberFormat="1" applyFont="1" applyFill="1" applyBorder="1" applyAlignment="1">
      <alignment horizontal="center" vertical="center" wrapText="1"/>
    </xf>
    <xf numFmtId="164" fontId="23" fillId="22" borderId="11" xfId="0" applyNumberFormat="1" applyFont="1" applyFill="1" applyBorder="1" applyAlignment="1">
      <alignment horizontal="center" vertical="center" wrapText="1"/>
    </xf>
    <xf numFmtId="0" fontId="23" fillId="22" borderId="13" xfId="0" applyFont="1" applyFill="1" applyBorder="1" applyAlignment="1">
      <alignment horizontal="center" vertical="center" wrapText="1"/>
    </xf>
    <xf numFmtId="166" fontId="38" fillId="0" borderId="28" xfId="0" applyNumberFormat="1" applyFont="1" applyBorder="1" applyAlignment="1">
      <alignment horizontal="center" vertical="center"/>
    </xf>
    <xf numFmtId="166" fontId="38" fillId="0" borderId="33" xfId="0" applyNumberFormat="1" applyFont="1" applyBorder="1" applyAlignment="1">
      <alignment horizontal="center" vertical="center"/>
    </xf>
    <xf numFmtId="166" fontId="38" fillId="0" borderId="30" xfId="0" applyNumberFormat="1" applyFont="1" applyBorder="1" applyAlignment="1">
      <alignment horizontal="center" vertical="center"/>
    </xf>
    <xf numFmtId="166" fontId="38" fillId="22" borderId="11" xfId="0" applyNumberFormat="1" applyFont="1" applyFill="1" applyBorder="1" applyAlignment="1">
      <alignment horizontal="center" vertical="center" wrapText="1"/>
    </xf>
    <xf numFmtId="166" fontId="38" fillId="22" borderId="17" xfId="0" applyNumberFormat="1" applyFont="1" applyFill="1" applyBorder="1" applyAlignment="1">
      <alignment horizontal="center" vertical="center" wrapText="1"/>
    </xf>
    <xf numFmtId="166" fontId="38" fillId="22" borderId="19" xfId="0" applyNumberFormat="1" applyFont="1" applyFill="1" applyBorder="1" applyAlignment="1">
      <alignment horizontal="center" vertical="center" wrapText="1"/>
    </xf>
    <xf numFmtId="166" fontId="38" fillId="22" borderId="18" xfId="0" applyNumberFormat="1" applyFont="1" applyFill="1" applyBorder="1" applyAlignment="1">
      <alignment horizontal="center" vertical="center" wrapText="1"/>
    </xf>
    <xf numFmtId="166" fontId="38" fillId="22" borderId="13" xfId="0" applyNumberFormat="1" applyFont="1" applyFill="1" applyBorder="1" applyAlignment="1">
      <alignment horizontal="center" vertical="center" wrapText="1"/>
    </xf>
    <xf numFmtId="166" fontId="38" fillId="22" borderId="22" xfId="0" applyNumberFormat="1" applyFont="1" applyFill="1" applyBorder="1" applyAlignment="1">
      <alignment horizontal="center" vertical="center" wrapText="1"/>
    </xf>
    <xf numFmtId="166" fontId="38" fillId="22" borderId="14" xfId="0" applyNumberFormat="1" applyFont="1" applyFill="1" applyBorder="1" applyAlignment="1">
      <alignment horizontal="center" vertical="center"/>
    </xf>
    <xf numFmtId="166" fontId="38" fillId="22" borderId="11" xfId="0" applyNumberFormat="1" applyFont="1" applyFill="1" applyBorder="1" applyAlignment="1">
      <alignment horizontal="center" vertical="center"/>
    </xf>
    <xf numFmtId="166" fontId="38" fillId="22" borderId="17" xfId="0" applyNumberFormat="1" applyFont="1" applyFill="1" applyBorder="1" applyAlignment="1">
      <alignment horizontal="center" vertical="center"/>
    </xf>
    <xf numFmtId="164" fontId="23" fillId="22" borderId="14" xfId="0" applyNumberFormat="1" applyFont="1" applyFill="1" applyBorder="1" applyAlignment="1">
      <alignment horizontal="center" vertical="center"/>
    </xf>
    <xf numFmtId="164" fontId="23" fillId="22" borderId="11" xfId="0" applyNumberFormat="1" applyFont="1" applyFill="1" applyBorder="1" applyAlignment="1">
      <alignment horizontal="center" vertical="center"/>
    </xf>
    <xf numFmtId="164" fontId="23" fillId="22" borderId="17" xfId="0" applyNumberFormat="1" applyFont="1" applyFill="1" applyBorder="1" applyAlignment="1">
      <alignment horizontal="center" vertical="center"/>
    </xf>
    <xf numFmtId="164" fontId="50" fillId="22" borderId="0" xfId="0" applyNumberFormat="1" applyFont="1" applyFill="1" applyAlignment="1" applyProtection="1">
      <alignment horizontal="center" vertical="center" wrapText="1"/>
      <protection locked="0"/>
    </xf>
    <xf numFmtId="164" fontId="50" fillId="22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0" xfId="0" applyNumberFormat="1" applyFont="1" applyAlignment="1">
      <alignment horizontal="center" vertical="center"/>
    </xf>
    <xf numFmtId="166" fontId="15" fillId="0" borderId="4" xfId="0" applyNumberFormat="1" applyFont="1" applyBorder="1" applyAlignment="1">
      <alignment horizontal="center" vertical="center"/>
    </xf>
    <xf numFmtId="166" fontId="38" fillId="0" borderId="73" xfId="0" applyNumberFormat="1" applyFont="1" applyBorder="1" applyAlignment="1">
      <alignment horizontal="center" vertical="center"/>
    </xf>
    <xf numFmtId="166" fontId="35" fillId="0" borderId="62" xfId="0" applyNumberFormat="1" applyFont="1" applyBorder="1" applyAlignment="1">
      <alignment horizontal="center" vertical="center" wrapText="1"/>
    </xf>
    <xf numFmtId="166" fontId="35" fillId="0" borderId="63" xfId="0" applyNumberFormat="1" applyFont="1" applyBorder="1" applyAlignment="1">
      <alignment horizontal="center" vertical="center" wrapText="1"/>
    </xf>
    <xf numFmtId="166" fontId="35" fillId="0" borderId="76" xfId="0" applyNumberFormat="1" applyFont="1" applyBorder="1" applyAlignment="1">
      <alignment horizontal="center" vertical="center" wrapText="1"/>
    </xf>
    <xf numFmtId="166" fontId="35" fillId="0" borderId="74" xfId="0" applyNumberFormat="1" applyFont="1" applyBorder="1" applyAlignment="1">
      <alignment horizontal="center" vertical="center" wrapText="1"/>
    </xf>
    <xf numFmtId="166" fontId="35" fillId="0" borderId="75" xfId="0" applyNumberFormat="1" applyFont="1" applyBorder="1" applyAlignment="1">
      <alignment horizontal="center" vertical="center" wrapText="1"/>
    </xf>
    <xf numFmtId="166" fontId="35" fillId="0" borderId="77" xfId="0" applyNumberFormat="1" applyFont="1" applyBorder="1" applyAlignment="1">
      <alignment horizontal="center" vertical="center" wrapText="1"/>
    </xf>
    <xf numFmtId="166" fontId="35" fillId="0" borderId="78" xfId="0" applyNumberFormat="1" applyFont="1" applyBorder="1" applyAlignment="1">
      <alignment horizontal="center" vertical="center" wrapText="1"/>
    </xf>
    <xf numFmtId="166" fontId="35" fillId="0" borderId="79" xfId="0" applyNumberFormat="1" applyFont="1" applyBorder="1" applyAlignment="1">
      <alignment horizontal="center" vertical="center" wrapText="1"/>
    </xf>
    <xf numFmtId="166" fontId="38" fillId="22" borderId="18" xfId="0" applyNumberFormat="1" applyFont="1" applyFill="1" applyBorder="1" applyAlignment="1">
      <alignment horizontal="center" vertical="center"/>
    </xf>
    <xf numFmtId="166" fontId="38" fillId="22" borderId="22" xfId="0" applyNumberFormat="1" applyFont="1" applyFill="1" applyBorder="1" applyAlignment="1">
      <alignment horizontal="center" vertical="center"/>
    </xf>
    <xf numFmtId="166" fontId="38" fillId="22" borderId="13" xfId="0" applyNumberFormat="1" applyFont="1" applyFill="1" applyBorder="1" applyAlignment="1">
      <alignment horizontal="center" vertical="center"/>
    </xf>
    <xf numFmtId="166" fontId="38" fillId="22" borderId="12" xfId="0" applyNumberFormat="1" applyFont="1" applyFill="1" applyBorder="1" applyAlignment="1">
      <alignment horizontal="center" vertical="center" wrapText="1"/>
    </xf>
    <xf numFmtId="166" fontId="35" fillId="0" borderId="88" xfId="0" applyNumberFormat="1" applyFont="1" applyBorder="1" applyAlignment="1">
      <alignment horizontal="center" vertical="center" wrapText="1"/>
    </xf>
    <xf numFmtId="166" fontId="35" fillId="0" borderId="64" xfId="0" applyNumberFormat="1" applyFont="1" applyBorder="1" applyAlignment="1">
      <alignment horizontal="center" vertical="center" wrapText="1"/>
    </xf>
    <xf numFmtId="164" fontId="7" fillId="22" borderId="13" xfId="0" applyNumberFormat="1" applyFont="1" applyFill="1" applyBorder="1" applyAlignment="1">
      <alignment horizontal="center" vertical="center" wrapText="1" readingOrder="2"/>
    </xf>
    <xf numFmtId="164" fontId="7" fillId="22" borderId="14" xfId="0" applyNumberFormat="1" applyFont="1" applyFill="1" applyBorder="1" applyAlignment="1">
      <alignment horizontal="center" vertical="center" wrapText="1" readingOrder="2"/>
    </xf>
    <xf numFmtId="164" fontId="62" fillId="22" borderId="13" xfId="0" applyNumberFormat="1" applyFont="1" applyFill="1" applyBorder="1" applyAlignment="1">
      <alignment horizontal="center" vertical="center" wrapText="1" readingOrder="2"/>
    </xf>
    <xf numFmtId="164" fontId="62" fillId="22" borderId="14" xfId="0" applyNumberFormat="1" applyFont="1" applyFill="1" applyBorder="1" applyAlignment="1">
      <alignment horizontal="center" vertical="center" wrapText="1" readingOrder="2"/>
    </xf>
    <xf numFmtId="166" fontId="31" fillId="0" borderId="85" xfId="0" applyNumberFormat="1" applyFont="1" applyBorder="1" applyAlignment="1">
      <alignment horizontal="center" vertical="center" wrapText="1" readingOrder="2"/>
    </xf>
    <xf numFmtId="166" fontId="31" fillId="0" borderId="86" xfId="0" applyNumberFormat="1" applyFont="1" applyBorder="1" applyAlignment="1">
      <alignment horizontal="center" vertical="center" wrapText="1" readingOrder="2"/>
    </xf>
    <xf numFmtId="166" fontId="31" fillId="0" borderId="87" xfId="0" applyNumberFormat="1" applyFont="1" applyBorder="1" applyAlignment="1">
      <alignment horizontal="center" vertical="center" wrapText="1" readingOrder="2"/>
    </xf>
    <xf numFmtId="164" fontId="7" fillId="22" borderId="18" xfId="0" applyNumberFormat="1" applyFont="1" applyFill="1" applyBorder="1" applyAlignment="1">
      <alignment horizontal="center" vertical="center" wrapText="1" readingOrder="2"/>
    </xf>
    <xf numFmtId="164" fontId="7" fillId="22" borderId="22" xfId="0" applyNumberFormat="1" applyFont="1" applyFill="1" applyBorder="1" applyAlignment="1">
      <alignment horizontal="center" vertical="center" wrapText="1" readingOrder="2"/>
    </xf>
    <xf numFmtId="166" fontId="31" fillId="22" borderId="20" xfId="0" applyNumberFormat="1" applyFont="1" applyFill="1" applyBorder="1" applyAlignment="1">
      <alignment horizontal="center" vertical="center" readingOrder="2"/>
    </xf>
    <xf numFmtId="166" fontId="31" fillId="22" borderId="21" xfId="0" applyNumberFormat="1" applyFont="1" applyFill="1" applyBorder="1" applyAlignment="1">
      <alignment horizontal="center" vertical="center" readingOrder="2"/>
    </xf>
    <xf numFmtId="166" fontId="31" fillId="22" borderId="23" xfId="0" applyNumberFormat="1" applyFont="1" applyFill="1" applyBorder="1" applyAlignment="1">
      <alignment horizontal="center" vertical="center" readingOrder="2"/>
    </xf>
    <xf numFmtId="166" fontId="31" fillId="0" borderId="84" xfId="0" applyNumberFormat="1" applyFont="1" applyBorder="1" applyAlignment="1">
      <alignment horizontal="center" vertical="center" wrapText="1" readingOrder="2"/>
    </xf>
    <xf numFmtId="166" fontId="31" fillId="0" borderId="41" xfId="0" applyNumberFormat="1" applyFont="1" applyBorder="1" applyAlignment="1">
      <alignment horizontal="center" vertical="center" wrapText="1" readingOrder="2"/>
    </xf>
    <xf numFmtId="166" fontId="31" fillId="22" borderId="83" xfId="0" applyNumberFormat="1" applyFont="1" applyFill="1" applyBorder="1" applyAlignment="1">
      <alignment horizontal="center" vertical="center" readingOrder="2"/>
    </xf>
    <xf numFmtId="164" fontId="62" fillId="22" borderId="18" xfId="0" applyNumberFormat="1" applyFont="1" applyFill="1" applyBorder="1" applyAlignment="1">
      <alignment horizontal="center" vertical="center" wrapText="1" readingOrder="2"/>
    </xf>
    <xf numFmtId="0" fontId="7" fillId="22" borderId="24" xfId="0" applyFont="1" applyFill="1" applyBorder="1" applyAlignment="1">
      <alignment horizontal="center" vertical="center" wrapText="1" readingOrder="2"/>
    </xf>
    <xf numFmtId="0" fontId="7" fillId="22" borderId="25" xfId="0" applyFont="1" applyFill="1" applyBorder="1" applyAlignment="1">
      <alignment horizontal="center" vertical="center" wrapText="1" readingOrder="2"/>
    </xf>
    <xf numFmtId="0" fontId="7" fillId="22" borderId="26" xfId="0" applyFont="1" applyFill="1" applyBorder="1" applyAlignment="1">
      <alignment horizontal="center" vertical="center" wrapText="1" readingOrder="2"/>
    </xf>
    <xf numFmtId="164" fontId="7" fillId="22" borderId="18" xfId="0" applyNumberFormat="1" applyFont="1" applyFill="1" applyBorder="1" applyAlignment="1">
      <alignment horizontal="center" vertical="center" readingOrder="2"/>
    </xf>
    <xf numFmtId="164" fontId="7" fillId="22" borderId="13" xfId="0" applyNumberFormat="1" applyFont="1" applyFill="1" applyBorder="1" applyAlignment="1">
      <alignment horizontal="center" vertical="center" readingOrder="2"/>
    </xf>
    <xf numFmtId="164" fontId="7" fillId="22" borderId="22" xfId="0" applyNumberFormat="1" applyFont="1" applyFill="1" applyBorder="1" applyAlignment="1">
      <alignment horizontal="center" vertical="center" readingOrder="2"/>
    </xf>
    <xf numFmtId="0" fontId="7" fillId="22" borderId="38" xfId="0" applyFont="1" applyFill="1" applyBorder="1" applyAlignment="1">
      <alignment horizontal="center" vertical="center" wrapText="1" readingOrder="2"/>
    </xf>
    <xf numFmtId="0" fontId="7" fillId="22" borderId="15" xfId="0" applyFont="1" applyFill="1" applyBorder="1" applyAlignment="1">
      <alignment horizontal="center" vertical="center" wrapText="1" readingOrder="2"/>
    </xf>
    <xf numFmtId="0" fontId="7" fillId="22" borderId="45" xfId="0" applyFont="1" applyFill="1" applyBorder="1" applyAlignment="1">
      <alignment horizontal="center" vertical="center" wrapText="1" readingOrder="2"/>
    </xf>
    <xf numFmtId="165" fontId="7" fillId="22" borderId="24" xfId="0" applyNumberFormat="1" applyFont="1" applyFill="1" applyBorder="1" applyAlignment="1">
      <alignment horizontal="center" vertical="center" readingOrder="2"/>
    </xf>
    <xf numFmtId="165" fontId="7" fillId="22" borderId="25" xfId="0" applyNumberFormat="1" applyFont="1" applyFill="1" applyBorder="1" applyAlignment="1">
      <alignment horizontal="center" vertical="center" readingOrder="2"/>
    </xf>
    <xf numFmtId="165" fontId="7" fillId="22" borderId="26" xfId="0" applyNumberFormat="1" applyFont="1" applyFill="1" applyBorder="1" applyAlignment="1">
      <alignment horizontal="center" vertical="center" readingOrder="2"/>
    </xf>
    <xf numFmtId="0" fontId="7" fillId="22" borderId="82" xfId="0" applyFont="1" applyFill="1" applyBorder="1" applyAlignment="1">
      <alignment horizontal="center" vertical="center" wrapText="1" readingOrder="2"/>
    </xf>
    <xf numFmtId="164" fontId="7" fillId="22" borderId="14" xfId="0" applyNumberFormat="1" applyFont="1" applyFill="1" applyBorder="1" applyAlignment="1">
      <alignment horizontal="center" vertical="center" readingOrder="2"/>
    </xf>
    <xf numFmtId="0" fontId="61" fillId="22" borderId="38" xfId="0" applyFont="1" applyFill="1" applyBorder="1" applyAlignment="1">
      <alignment horizontal="center" vertical="center" wrapText="1" readingOrder="2"/>
    </xf>
    <xf numFmtId="0" fontId="61" fillId="22" borderId="40" xfId="0" applyFont="1" applyFill="1" applyBorder="1" applyAlignment="1">
      <alignment horizontal="center" vertical="center" wrapText="1" readingOrder="2"/>
    </xf>
    <xf numFmtId="165" fontId="7" fillId="22" borderId="82" xfId="0" applyNumberFormat="1" applyFont="1" applyFill="1" applyBorder="1" applyAlignment="1">
      <alignment horizontal="center" vertical="center" readingOrder="2"/>
    </xf>
    <xf numFmtId="0" fontId="7" fillId="22" borderId="40" xfId="0" applyFont="1" applyFill="1" applyBorder="1" applyAlignment="1">
      <alignment horizontal="center" vertical="center" wrapText="1" readingOrder="2"/>
    </xf>
    <xf numFmtId="164" fontId="61" fillId="22" borderId="18" xfId="0" applyNumberFormat="1" applyFont="1" applyFill="1" applyBorder="1" applyAlignment="1">
      <alignment horizontal="center" vertical="center" wrapText="1" readingOrder="2"/>
    </xf>
    <xf numFmtId="164" fontId="61" fillId="22" borderId="14" xfId="0" applyNumberFormat="1" applyFont="1" applyFill="1" applyBorder="1" applyAlignment="1">
      <alignment horizontal="center" vertical="center" wrapText="1" readingOrder="2"/>
    </xf>
    <xf numFmtId="164" fontId="37" fillId="22" borderId="0" xfId="0" applyNumberFormat="1" applyFont="1" applyFill="1" applyAlignment="1">
      <alignment horizontal="right" vertical="center" wrapText="1"/>
    </xf>
    <xf numFmtId="166" fontId="31" fillId="22" borderId="44" xfId="0" applyNumberFormat="1" applyFont="1" applyFill="1" applyBorder="1" applyAlignment="1">
      <alignment horizontal="center" vertical="center" readingOrder="2"/>
    </xf>
    <xf numFmtId="166" fontId="31" fillId="0" borderId="81" xfId="0" applyNumberFormat="1" applyFont="1" applyBorder="1" applyAlignment="1">
      <alignment horizontal="center" vertical="center" wrapText="1" readingOrder="2"/>
    </xf>
    <xf numFmtId="0" fontId="14" fillId="22" borderId="43" xfId="0" applyFont="1" applyFill="1" applyBorder="1" applyAlignment="1">
      <alignment horizontal="center" vertical="center" wrapText="1" readingOrder="2"/>
    </xf>
    <xf numFmtId="0" fontId="14" fillId="22" borderId="25" xfId="0" applyFont="1" applyFill="1" applyBorder="1" applyAlignment="1">
      <alignment horizontal="center" vertical="center" wrapText="1" readingOrder="2"/>
    </xf>
    <xf numFmtId="0" fontId="14" fillId="22" borderId="82" xfId="0" applyFont="1" applyFill="1" applyBorder="1" applyAlignment="1">
      <alignment horizontal="center" vertical="center" wrapText="1" readingOrder="2"/>
    </xf>
    <xf numFmtId="164" fontId="14" fillId="22" borderId="12" xfId="0" applyNumberFormat="1" applyFont="1" applyFill="1" applyBorder="1" applyAlignment="1">
      <alignment horizontal="center" vertical="center" wrapText="1" readingOrder="2"/>
    </xf>
    <xf numFmtId="164" fontId="14" fillId="22" borderId="13" xfId="0" applyNumberFormat="1" applyFont="1" applyFill="1" applyBorder="1" applyAlignment="1">
      <alignment horizontal="center" vertical="center" wrapText="1" readingOrder="2"/>
    </xf>
    <xf numFmtId="164" fontId="14" fillId="22" borderId="14" xfId="0" applyNumberFormat="1" applyFont="1" applyFill="1" applyBorder="1" applyAlignment="1">
      <alignment horizontal="center" vertical="center" wrapText="1" readingOrder="2"/>
    </xf>
    <xf numFmtId="0" fontId="14" fillId="22" borderId="44" xfId="0" applyFont="1" applyFill="1" applyBorder="1" applyAlignment="1">
      <alignment horizontal="center" vertical="center" wrapText="1" readingOrder="2"/>
    </xf>
    <xf numFmtId="0" fontId="14" fillId="22" borderId="21" xfId="0" applyFont="1" applyFill="1" applyBorder="1" applyAlignment="1">
      <alignment horizontal="center" vertical="center" wrapText="1" readingOrder="2"/>
    </xf>
    <xf numFmtId="0" fontId="14" fillId="22" borderId="83" xfId="0" applyFont="1" applyFill="1" applyBorder="1" applyAlignment="1">
      <alignment horizontal="center" vertical="center" wrapText="1" readingOrder="2"/>
    </xf>
    <xf numFmtId="165" fontId="14" fillId="22" borderId="43" xfId="0" applyNumberFormat="1" applyFont="1" applyFill="1" applyBorder="1" applyAlignment="1">
      <alignment horizontal="center" vertical="center" wrapText="1" readingOrder="2"/>
    </xf>
    <xf numFmtId="165" fontId="14" fillId="22" borderId="25" xfId="0" applyNumberFormat="1" applyFont="1" applyFill="1" applyBorder="1" applyAlignment="1">
      <alignment horizontal="center" vertical="center" wrapText="1" readingOrder="2"/>
    </xf>
    <xf numFmtId="165" fontId="14" fillId="22" borderId="82" xfId="0" applyNumberFormat="1" applyFont="1" applyFill="1" applyBorder="1" applyAlignment="1">
      <alignment horizontal="center" vertical="center" wrapText="1" readingOrder="2"/>
    </xf>
    <xf numFmtId="164" fontId="7" fillId="22" borderId="12" xfId="0" applyNumberFormat="1" applyFont="1" applyFill="1" applyBorder="1" applyAlignment="1">
      <alignment horizontal="center" vertical="center" wrapText="1" readingOrder="2"/>
    </xf>
    <xf numFmtId="0" fontId="49" fillId="22" borderId="0" xfId="0" applyFont="1" applyFill="1" applyAlignment="1">
      <alignment horizontal="center" vertical="center"/>
    </xf>
    <xf numFmtId="167" fontId="38" fillId="0" borderId="0" xfId="1" applyNumberFormat="1" applyFont="1" applyAlignment="1" applyProtection="1">
      <alignment horizontal="center" vertical="center" wrapText="1"/>
    </xf>
    <xf numFmtId="167" fontId="38" fillId="0" borderId="0" xfId="1" applyNumberFormat="1" applyFont="1" applyBorder="1" applyAlignment="1" applyProtection="1">
      <alignment horizontal="center" vertical="center" wrapText="1"/>
    </xf>
    <xf numFmtId="0" fontId="63" fillId="22" borderId="0" xfId="0" applyFont="1" applyFill="1" applyAlignment="1">
      <alignment horizontal="center" vertical="center"/>
    </xf>
    <xf numFmtId="0" fontId="63" fillId="22" borderId="7" xfId="0" applyFont="1" applyFill="1" applyBorder="1" applyAlignment="1">
      <alignment horizontal="center" vertical="center"/>
    </xf>
    <xf numFmtId="0" fontId="13" fillId="21" borderId="13" xfId="0" applyFont="1" applyFill="1" applyBorder="1" applyAlignment="1">
      <alignment horizontal="center" vertical="center"/>
    </xf>
    <xf numFmtId="0" fontId="20" fillId="22" borderId="13" xfId="0" applyFont="1" applyFill="1" applyBorder="1" applyAlignment="1">
      <alignment horizontal="center" vertical="center"/>
    </xf>
    <xf numFmtId="165" fontId="21" fillId="22" borderId="14" xfId="0" applyNumberFormat="1" applyFont="1" applyFill="1" applyBorder="1" applyAlignment="1">
      <alignment horizontal="center" vertical="center" readingOrder="2"/>
    </xf>
    <xf numFmtId="165" fontId="21" fillId="22" borderId="12" xfId="0" applyNumberFormat="1" applyFont="1" applyFill="1" applyBorder="1" applyAlignment="1">
      <alignment horizontal="center" vertical="center" readingOrder="2"/>
    </xf>
  </cellXfs>
  <cellStyles count="3">
    <cellStyle name="Normal" xfId="0" builtinId="0"/>
    <cellStyle name="Normal 2" xfId="2"/>
    <cellStyle name="Percent" xfId="1" builtinId="5"/>
  </cellStyles>
  <dxfs count="6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0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0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4" formatCode="[$-2140000]0"/>
      <alignment horizontal="center" vertical="center" textRotation="0" wrapText="0" indent="0" justifyLastLine="0" shrinkToFit="0" readingOrder="2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numFmt numFmtId="164" formatCode="[$-2140000]0"/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4" formatCode="[$-2140000]0"/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4" formatCode="[$-2140000]0"/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4" formatCode="[$-2140000]0"/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general" vertical="bottom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general" vertical="bottom" textRotation="0" wrapText="0" indent="0" justifyLastLine="0" shrinkToFit="0" readingOrder="2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center" vertical="center" textRotation="0" wrapText="1" indent="0" justifyLastLine="0" shrinkToFit="0" readingOrder="2"/>
      <protection locked="1" hidden="0"/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EECE1"/>
      <color rgb="FF4F81BD"/>
      <color rgb="FFFFFFFF"/>
      <color rgb="FFE9E67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'الامتثال والالتزام (للجهة)'!$AC$15</c:f>
          <c:strCache>
            <c:ptCount val="1"/>
            <c:pt idx="0">
              <c:v>مواطن التحسين  - مؤسسة ……….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44494180841546E-3"/>
          <c:y val="0.15110277662660587"/>
          <c:w val="0.94173651756516619"/>
          <c:h val="0.6139411381045253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'الامتثال والالتزام (للجهة)'!$AF$3</c:f>
              <c:strCache>
                <c:ptCount val="1"/>
                <c:pt idx="0">
                  <c:v>درجات النقص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'الامتثال والالتزام (للجهة)'!$AA$4:$AC$12</c:f>
              <c:multiLvlStrCache>
                <c:ptCount val="9"/>
                <c:lvl>
                  <c:pt idx="0">
                    <c:v>التزام المؤسسة بالضوابط والإجراءات المنظمة للائحتها الأساسية</c:v>
                  </c:pt>
                  <c:pt idx="1">
                    <c:v>التزام المؤسسة بالأحكام والضوابط المنظمة لمجلس الأمناء وأعضائه وزيادة فاعليتهم</c:v>
                  </c:pt>
                  <c:pt idx="2">
                    <c:v>التزام المؤسسة بالضوابط المنظمة للإدارة التنفيذية ومهامها</c:v>
                  </c:pt>
                  <c:pt idx="3">
                    <c:v>التزام المؤسسة بممارسة الأنشطة والبرامج وإنشاء الفروع وفق ما تحدده الأنطمة واللوائح</c:v>
                  </c:pt>
                  <c:pt idx="4">
                    <c:v>التزام المؤسسة بإعداد التقارير الدورية المطلوبة ورفعها للوزارة خلال
الفترات المحدّدة</c:v>
                  </c:pt>
                  <c:pt idx="5">
                    <c:v>التزام المؤسسة بكافة مستوياتها الدارية بمكافحة جرائم تمويل الرهاب وغسل الأموال من خلال المؤشرات والسياسات والإجراءات الداخلية</c:v>
                  </c:pt>
                  <c:pt idx="6">
                    <c:v>التزام المؤسسة بالأنظمة والضوابط المنظمة للإيرادات والمصروفات وامتلاك العقارات</c:v>
                  </c:pt>
                  <c:pt idx="7">
                    <c:v>التزام المؤسسة بالأنظمة والضوابط المنظمة للوثائق والسجلات</c:v>
                  </c:pt>
                  <c:pt idx="8">
                    <c:v>التزام المؤسسة بضوابط تكوين وتنظيم عمل اللجان الدائمة والمؤقتة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  <c:pt idx="4">
                    <c:v>٥</c:v>
                  </c:pt>
                  <c:pt idx="5">
                    <c:v>٦</c:v>
                  </c:pt>
                  <c:pt idx="6">
                    <c:v>٧</c:v>
                  </c:pt>
                  <c:pt idx="7">
                    <c:v>٨</c:v>
                  </c:pt>
                  <c:pt idx="8">
                    <c:v>٩</c:v>
                  </c:pt>
                </c:lvl>
                <c:lvl>
                  <c:pt idx="0">
                    <c:v>اللائحة الأساسية للمؤسسة  </c:v>
                  </c:pt>
                  <c:pt idx="1">
                    <c:v>مجلس الأمناء</c:v>
                  </c:pt>
                  <c:pt idx="2">
                    <c:v>الإدارة التنفيذية</c:v>
                  </c:pt>
                  <c:pt idx="3">
                    <c:v>الأنشطة والبرامج وإنشاء الفروع</c:v>
                  </c:pt>
                  <c:pt idx="4">
                    <c:v>التقارير </c:v>
                  </c:pt>
                  <c:pt idx="5">
                    <c:v>مكافحة جرائم تمويل الرهاب وغسل الأموال</c:v>
                  </c:pt>
                  <c:pt idx="6">
                    <c:v>الإيرادات والمصروفات والتملك</c:v>
                  </c:pt>
                  <c:pt idx="7">
                    <c:v>الوثائق والسجلات</c:v>
                  </c:pt>
                  <c:pt idx="8">
                    <c:v>المستويات التنظيمية للمؤسسة</c:v>
                  </c:pt>
                </c:lvl>
              </c:multiLvlStrCache>
            </c:multiLvlStrRef>
          </c:cat>
          <c:val>
            <c:numRef>
              <c:f>'الامتثال والالتزام (للجهة)'!$AF$4:$AF$12</c:f>
              <c:numCache>
                <c:formatCode>[$-2140000]#,##0_);[Red]\(\-\ #,##0\)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E-4088-8F5A-CEAE42E16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32432"/>
        <c:axId val="57719120"/>
      </c:barChart>
      <c:catAx>
        <c:axId val="577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19120"/>
        <c:crosses val="autoZero"/>
        <c:auto val="1"/>
        <c:lblAlgn val="ctr"/>
        <c:lblOffset val="0"/>
        <c:noMultiLvlLbl val="0"/>
      </c:catAx>
      <c:valAx>
        <c:axId val="57719120"/>
        <c:scaling>
          <c:orientation val="minMax"/>
        </c:scaling>
        <c:delete val="1"/>
        <c:axPos val="l"/>
        <c:numFmt formatCode="[$-2140000]#,##0_);[Red]\(\-\ #,##0\)" sourceLinked="1"/>
        <c:majorTickMark val="none"/>
        <c:minorTickMark val="none"/>
        <c:tickLblPos val="nextTo"/>
        <c:crossAx val="5773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'الامتثال والالتزام (للجهة)'!$E$1</c:f>
          <c:strCache>
            <c:ptCount val="1"/>
            <c:pt idx="0">
              <c:v>مؤسسة ……….</c:v>
            </c:pt>
          </c:strCache>
        </c:strRef>
      </c:tx>
      <c:layout>
        <c:manualLayout>
          <c:xMode val="edge"/>
          <c:yMode val="edge"/>
          <c:x val="0.45370810115587357"/>
          <c:y val="1.21229862637974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657461473093344E-2"/>
          <c:y val="0.12343220514256442"/>
          <c:w val="0.92122595469413271"/>
          <c:h val="0.6942180355671234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'الامتثال والالتزام (للجهة)'!$AG$3</c:f>
              <c:strCache>
                <c:ptCount val="1"/>
                <c:pt idx="0">
                  <c:v>% درجة المؤشر المحققة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'الامتثال والالتزام (للجهة)'!$AA$4:$AC$12</c:f>
              <c:multiLvlStrCache>
                <c:ptCount val="9"/>
                <c:lvl>
                  <c:pt idx="0">
                    <c:v>التزام المؤسسة بالضوابط والإجراءات المنظمة للائحتها الأساسية</c:v>
                  </c:pt>
                  <c:pt idx="1">
                    <c:v>التزام المؤسسة بالأحكام والضوابط المنظمة لمجلس الأمناء وأعضائه وزيادة فاعليتهم</c:v>
                  </c:pt>
                  <c:pt idx="2">
                    <c:v>التزام المؤسسة بالضوابط المنظمة للإدارة التنفيذية ومهامها</c:v>
                  </c:pt>
                  <c:pt idx="3">
                    <c:v>التزام المؤسسة بممارسة الأنشطة والبرامج وإنشاء الفروع وفق ما تحدده الأنطمة واللوائح</c:v>
                  </c:pt>
                  <c:pt idx="4">
                    <c:v>التزام المؤسسة بإعداد التقارير الدورية المطلوبة ورفعها للوزارة خلال
الفترات المحدّدة</c:v>
                  </c:pt>
                  <c:pt idx="5">
                    <c:v>التزام المؤسسة بكافة مستوياتها الدارية بمكافحة جرائم تمويل الرهاب وغسل الأموال من خلال المؤشرات والسياسات والإجراءات الداخلية</c:v>
                  </c:pt>
                  <c:pt idx="6">
                    <c:v>التزام المؤسسة بالأنظمة والضوابط المنظمة للإيرادات والمصروفات وامتلاك العقارات</c:v>
                  </c:pt>
                  <c:pt idx="7">
                    <c:v>التزام المؤسسة بالأنظمة والضوابط المنظمة للوثائق والسجلات</c:v>
                  </c:pt>
                  <c:pt idx="8">
                    <c:v>التزام المؤسسة بضوابط تكوين وتنظيم عمل اللجان الدائمة والمؤقتة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  <c:pt idx="4">
                    <c:v>٥</c:v>
                  </c:pt>
                  <c:pt idx="5">
                    <c:v>٦</c:v>
                  </c:pt>
                  <c:pt idx="6">
                    <c:v>٧</c:v>
                  </c:pt>
                  <c:pt idx="7">
                    <c:v>٨</c:v>
                  </c:pt>
                  <c:pt idx="8">
                    <c:v>٩</c:v>
                  </c:pt>
                </c:lvl>
                <c:lvl>
                  <c:pt idx="0">
                    <c:v>اللائحة الأساسية للمؤسسة  </c:v>
                  </c:pt>
                  <c:pt idx="1">
                    <c:v>مجلس الأمناء</c:v>
                  </c:pt>
                  <c:pt idx="2">
                    <c:v>الإدارة التنفيذية</c:v>
                  </c:pt>
                  <c:pt idx="3">
                    <c:v>الأنشطة والبرامج وإنشاء الفروع</c:v>
                  </c:pt>
                  <c:pt idx="4">
                    <c:v>التقارير </c:v>
                  </c:pt>
                  <c:pt idx="5">
                    <c:v>مكافحة جرائم تمويل الرهاب وغسل الأموال</c:v>
                  </c:pt>
                  <c:pt idx="6">
                    <c:v>الإيرادات والمصروفات والتملك</c:v>
                  </c:pt>
                  <c:pt idx="7">
                    <c:v>الوثائق والسجلات</c:v>
                  </c:pt>
                  <c:pt idx="8">
                    <c:v>المستويات التنظيمية للمؤسسة</c:v>
                  </c:pt>
                </c:lvl>
              </c:multiLvlStrCache>
            </c:multiLvlStrRef>
          </c:cat>
          <c:val>
            <c:numRef>
              <c:f>'الامتثال والالتزام (للجهة)'!$AG$4:$AG$12</c:f>
              <c:numCache>
                <c:formatCode>[$-2140000]0.0%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D-4429-A669-E79DA002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57718288"/>
        <c:axId val="57724944"/>
      </c:barChart>
      <c:barChart>
        <c:barDir val="col"/>
        <c:grouping val="clustered"/>
        <c:varyColors val="0"/>
        <c:ser>
          <c:idx val="0"/>
          <c:order val="0"/>
          <c:tx>
            <c:strRef>
              <c:f>'الامتثال والالتزام (للجهة)'!$AD$3</c:f>
              <c:strCache>
                <c:ptCount val="1"/>
                <c:pt idx="0">
                  <c:v>درجة المؤشر للمنشأة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contrasting" dir="t">
                <a:rot lat="0" lon="0" rev="1500000"/>
              </a:lightRig>
            </a:scene3d>
            <a:sp3d prstMaterial="metal">
              <a:bevelT w="88900" h="889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'الامتثال والالتزام (للجهة)'!$AA$4:$AC$12</c:f>
              <c:multiLvlStrCache>
                <c:ptCount val="9"/>
                <c:lvl>
                  <c:pt idx="0">
                    <c:v>التزام المؤسسة بالضوابط والإجراءات المنظمة للائحتها الأساسية</c:v>
                  </c:pt>
                  <c:pt idx="1">
                    <c:v>التزام المؤسسة بالأحكام والضوابط المنظمة لمجلس الأمناء وأعضائه وزيادة فاعليتهم</c:v>
                  </c:pt>
                  <c:pt idx="2">
                    <c:v>التزام المؤسسة بالضوابط المنظمة للإدارة التنفيذية ومهامها</c:v>
                  </c:pt>
                  <c:pt idx="3">
                    <c:v>التزام المؤسسة بممارسة الأنشطة والبرامج وإنشاء الفروع وفق ما تحدده الأنطمة واللوائح</c:v>
                  </c:pt>
                  <c:pt idx="4">
                    <c:v>التزام المؤسسة بإعداد التقارير الدورية المطلوبة ورفعها للوزارة خلال
الفترات المحدّدة</c:v>
                  </c:pt>
                  <c:pt idx="5">
                    <c:v>التزام المؤسسة بكافة مستوياتها الدارية بمكافحة جرائم تمويل الرهاب وغسل الأموال من خلال المؤشرات والسياسات والإجراءات الداخلية</c:v>
                  </c:pt>
                  <c:pt idx="6">
                    <c:v>التزام المؤسسة بالأنظمة والضوابط المنظمة للإيرادات والمصروفات وامتلاك العقارات</c:v>
                  </c:pt>
                  <c:pt idx="7">
                    <c:v>التزام المؤسسة بالأنظمة والضوابط المنظمة للوثائق والسجلات</c:v>
                  </c:pt>
                  <c:pt idx="8">
                    <c:v>التزام المؤسسة بضوابط تكوين وتنظيم عمل اللجان الدائمة والمؤقتة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  <c:pt idx="4">
                    <c:v>٥</c:v>
                  </c:pt>
                  <c:pt idx="5">
                    <c:v>٦</c:v>
                  </c:pt>
                  <c:pt idx="6">
                    <c:v>٧</c:v>
                  </c:pt>
                  <c:pt idx="7">
                    <c:v>٨</c:v>
                  </c:pt>
                  <c:pt idx="8">
                    <c:v>٩</c:v>
                  </c:pt>
                </c:lvl>
                <c:lvl>
                  <c:pt idx="0">
                    <c:v>اللائحة الأساسية للمؤسسة  </c:v>
                  </c:pt>
                  <c:pt idx="1">
                    <c:v>مجلس الأمناء</c:v>
                  </c:pt>
                  <c:pt idx="2">
                    <c:v>الإدارة التنفيذية</c:v>
                  </c:pt>
                  <c:pt idx="3">
                    <c:v>الأنشطة والبرامج وإنشاء الفروع</c:v>
                  </c:pt>
                  <c:pt idx="4">
                    <c:v>التقارير </c:v>
                  </c:pt>
                  <c:pt idx="5">
                    <c:v>مكافحة جرائم تمويل الرهاب وغسل الأموال</c:v>
                  </c:pt>
                  <c:pt idx="6">
                    <c:v>الإيرادات والمصروفات والتملك</c:v>
                  </c:pt>
                  <c:pt idx="7">
                    <c:v>الوثائق والسجلات</c:v>
                  </c:pt>
                  <c:pt idx="8">
                    <c:v>المستويات التنظيمية للمؤسسة</c:v>
                  </c:pt>
                </c:lvl>
              </c:multiLvlStrCache>
            </c:multiLvlStrRef>
          </c:cat>
          <c:val>
            <c:numRef>
              <c:f>'الامتثال والالتزام (للجهة)'!$AD$4:$AD$12</c:f>
              <c:numCache>
                <c:formatCode>[$-2140000]0.0</c:formatCode>
                <c:ptCount val="9"/>
                <c:pt idx="0">
                  <c:v>13</c:v>
                </c:pt>
                <c:pt idx="1">
                  <c:v>35</c:v>
                </c:pt>
                <c:pt idx="2">
                  <c:v>10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12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D-4429-A669-E79DA002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42098672"/>
        <c:axId val="1742101168"/>
      </c:barChart>
      <c:lineChart>
        <c:grouping val="standard"/>
        <c:varyColors val="0"/>
        <c:ser>
          <c:idx val="1"/>
          <c:order val="1"/>
          <c:tx>
            <c:strRef>
              <c:f>'الامتثال والالتزام (للجهة)'!$AE$3</c:f>
              <c:strCache>
                <c:ptCount val="1"/>
                <c:pt idx="0">
                  <c:v>درجة المؤشر العظمى</c:v>
                </c:pt>
              </c:strCache>
            </c:strRef>
          </c:tx>
          <c:spPr>
            <a:ln w="28575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ash"/>
            <c:size val="35"/>
            <c:spPr>
              <a:solidFill>
                <a:srgbClr val="00B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marker>
          <c:cat>
            <c:multiLvlStrRef>
              <c:f>'الامتثال والالتزام (للجهة)'!$AA$4:$AC$12</c:f>
              <c:multiLvlStrCache>
                <c:ptCount val="9"/>
                <c:lvl>
                  <c:pt idx="0">
                    <c:v>التزام المؤسسة بالضوابط والإجراءات المنظمة للائحتها الأساسية</c:v>
                  </c:pt>
                  <c:pt idx="1">
                    <c:v>التزام المؤسسة بالأحكام والضوابط المنظمة لمجلس الأمناء وأعضائه وزيادة فاعليتهم</c:v>
                  </c:pt>
                  <c:pt idx="2">
                    <c:v>التزام المؤسسة بالضوابط المنظمة للإدارة التنفيذية ومهامها</c:v>
                  </c:pt>
                  <c:pt idx="3">
                    <c:v>التزام المؤسسة بممارسة الأنشطة والبرامج وإنشاء الفروع وفق ما تحدده الأنطمة واللوائح</c:v>
                  </c:pt>
                  <c:pt idx="4">
                    <c:v>التزام المؤسسة بإعداد التقارير الدورية المطلوبة ورفعها للوزارة خلال
الفترات المحدّدة</c:v>
                  </c:pt>
                  <c:pt idx="5">
                    <c:v>التزام المؤسسة بكافة مستوياتها الدارية بمكافحة جرائم تمويل الرهاب وغسل الأموال من خلال المؤشرات والسياسات والإجراءات الداخلية</c:v>
                  </c:pt>
                  <c:pt idx="6">
                    <c:v>التزام المؤسسة بالأنظمة والضوابط المنظمة للإيرادات والمصروفات وامتلاك العقارات</c:v>
                  </c:pt>
                  <c:pt idx="7">
                    <c:v>التزام المؤسسة بالأنظمة والضوابط المنظمة للوثائق والسجلات</c:v>
                  </c:pt>
                  <c:pt idx="8">
                    <c:v>التزام المؤسسة بضوابط تكوين وتنظيم عمل اللجان الدائمة والمؤقتة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  <c:pt idx="4">
                    <c:v>٥</c:v>
                  </c:pt>
                  <c:pt idx="5">
                    <c:v>٦</c:v>
                  </c:pt>
                  <c:pt idx="6">
                    <c:v>٧</c:v>
                  </c:pt>
                  <c:pt idx="7">
                    <c:v>٨</c:v>
                  </c:pt>
                  <c:pt idx="8">
                    <c:v>٩</c:v>
                  </c:pt>
                </c:lvl>
                <c:lvl>
                  <c:pt idx="0">
                    <c:v>اللائحة الأساسية للمؤسسة  </c:v>
                  </c:pt>
                  <c:pt idx="1">
                    <c:v>مجلس الأمناء</c:v>
                  </c:pt>
                  <c:pt idx="2">
                    <c:v>الإدارة التنفيذية</c:v>
                  </c:pt>
                  <c:pt idx="3">
                    <c:v>الأنشطة والبرامج وإنشاء الفروع</c:v>
                  </c:pt>
                  <c:pt idx="4">
                    <c:v>التقارير </c:v>
                  </c:pt>
                  <c:pt idx="5">
                    <c:v>مكافحة جرائم تمويل الرهاب وغسل الأموال</c:v>
                  </c:pt>
                  <c:pt idx="6">
                    <c:v>الإيرادات والمصروفات والتملك</c:v>
                  </c:pt>
                  <c:pt idx="7">
                    <c:v>الوثائق والسجلات</c:v>
                  </c:pt>
                  <c:pt idx="8">
                    <c:v>المستويات التنظيمية للمؤسسة</c:v>
                  </c:pt>
                </c:lvl>
              </c:multiLvlStrCache>
            </c:multiLvlStrRef>
          </c:cat>
          <c:val>
            <c:numRef>
              <c:f>'الامتثال والالتزام (للجهة)'!$AE$4:$AE$12</c:f>
              <c:numCache>
                <c:formatCode>[$-2140000]0.0</c:formatCode>
                <c:ptCount val="9"/>
                <c:pt idx="0">
                  <c:v>13</c:v>
                </c:pt>
                <c:pt idx="1">
                  <c:v>35</c:v>
                </c:pt>
                <c:pt idx="2">
                  <c:v>10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12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D-4429-A669-E79DA0024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98672"/>
        <c:axId val="1742101168"/>
      </c:lineChart>
      <c:catAx>
        <c:axId val="5771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24944"/>
        <c:crosses val="autoZero"/>
        <c:auto val="1"/>
        <c:lblAlgn val="ctr"/>
        <c:lblOffset val="100"/>
        <c:noMultiLvlLbl val="0"/>
      </c:catAx>
      <c:valAx>
        <c:axId val="57724944"/>
        <c:scaling>
          <c:orientation val="minMax"/>
          <c:max val="1"/>
        </c:scaling>
        <c:delete val="0"/>
        <c:axPos val="l"/>
        <c:numFmt formatCode="[$-2140000]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18288"/>
        <c:crosses val="autoZero"/>
        <c:crossBetween val="between"/>
      </c:valAx>
      <c:valAx>
        <c:axId val="1742101168"/>
        <c:scaling>
          <c:orientation val="minMax"/>
        </c:scaling>
        <c:delete val="0"/>
        <c:axPos val="r"/>
        <c:numFmt formatCode="[$-2140000]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098672"/>
        <c:crosses val="max"/>
        <c:crossBetween val="between"/>
      </c:valAx>
      <c:catAx>
        <c:axId val="174209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2101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6590386249160776"/>
          <c:w val="0.99659519865419111"/>
          <c:h val="3.409613750839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18413522716409E-3"/>
          <c:y val="0.19139209910055027"/>
          <c:w val="0.94664033999380892"/>
          <c:h val="0.68095406903384237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'الشفافية والإفصاح (للجهة)'!$AG$3</c:f>
              <c:strCache>
                <c:ptCount val="1"/>
                <c:pt idx="0">
                  <c:v>% درجة المؤشر المحققة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'الشفافية والإفصاح (للجهة)'!$AA$4:$AC$7</c:f>
              <c:multiLvlStrCache>
                <c:ptCount val="4"/>
                <c:lvl>
                  <c:pt idx="0">
                    <c:v>نشر الأنظمة واللوائح والسياسات المعتمدة وإتاحتها للمستهدفين منها</c:v>
                  </c:pt>
                  <c:pt idx="1">
                    <c:v>الإفصاح عن بيانات المؤسسة والقائمين على شؤونها والتفاعل مع المهتمين بها.</c:v>
                  </c:pt>
                  <c:pt idx="2">
                    <c:v>نشر أهداف المؤسسة وتقارير البرامج والأنشطة المنفذة</c:v>
                  </c:pt>
                  <c:pt idx="3">
                    <c:v>توفير بيانات النموذج الشامل وتطابقه مع واقع المؤسسة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</c:lvl>
                <c:lvl>
                  <c:pt idx="0">
                    <c:v>نشر الأنظمة واللوائح والسياسات</c:v>
                  </c:pt>
                  <c:pt idx="1">
                    <c:v>الإفصاح عن بيانات</c:v>
                  </c:pt>
                  <c:pt idx="2">
                    <c:v>نشر أهداف المؤسسة</c:v>
                  </c:pt>
                  <c:pt idx="3">
                    <c:v>توفير بيانات النموذج الشامل</c:v>
                  </c:pt>
                </c:lvl>
              </c:multiLvlStrCache>
            </c:multiLvlStrRef>
          </c:cat>
          <c:val>
            <c:numRef>
              <c:f>'الشفافية والإفصاح (للجهة)'!$AG$4:$AG$7</c:f>
              <c:numCache>
                <c:formatCode>[$-2140000]0.0%</c:formatCode>
                <c:ptCount val="4"/>
                <c:pt idx="0">
                  <c:v>1</c:v>
                </c:pt>
                <c:pt idx="1">
                  <c:v>0.875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40-46FE-9668-A5782E41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082282383"/>
        <c:axId val="1082289871"/>
      </c:barChart>
      <c:barChart>
        <c:barDir val="col"/>
        <c:grouping val="clustered"/>
        <c:varyColors val="0"/>
        <c:ser>
          <c:idx val="4"/>
          <c:order val="0"/>
          <c:tx>
            <c:strRef>
              <c:f>'الشفافية والإفصاح (للجهة)'!$AD$3</c:f>
              <c:strCache>
                <c:ptCount val="1"/>
                <c:pt idx="0">
                  <c:v>درجة المؤشر للمنشأة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>
              <a:bevelT w="88900" h="889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'الشفافية والإفصاح (للجهة)'!$AA$4:$AC$7</c:f>
              <c:multiLvlStrCache>
                <c:ptCount val="4"/>
                <c:lvl>
                  <c:pt idx="0">
                    <c:v>نشر الأنظمة واللوائح والسياسات المعتمدة وإتاحتها للمستهدفين منها</c:v>
                  </c:pt>
                  <c:pt idx="1">
                    <c:v>الإفصاح عن بيانات المؤسسة والقائمين على شؤونها والتفاعل مع المهتمين بها.</c:v>
                  </c:pt>
                  <c:pt idx="2">
                    <c:v>نشر أهداف المؤسسة وتقارير البرامج والأنشطة المنفذة</c:v>
                  </c:pt>
                  <c:pt idx="3">
                    <c:v>توفير بيانات النموذج الشامل وتطابقه مع واقع المؤسسة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</c:lvl>
                <c:lvl>
                  <c:pt idx="0">
                    <c:v>نشر الأنظمة واللوائح والسياسات</c:v>
                  </c:pt>
                  <c:pt idx="1">
                    <c:v>الإفصاح عن بيانات</c:v>
                  </c:pt>
                  <c:pt idx="2">
                    <c:v>نشر أهداف المؤسسة</c:v>
                  </c:pt>
                  <c:pt idx="3">
                    <c:v>توفير بيانات النموذج الشامل</c:v>
                  </c:pt>
                </c:lvl>
              </c:multiLvlStrCache>
            </c:multiLvlStrRef>
          </c:cat>
          <c:val>
            <c:numRef>
              <c:f>'الشفافية والإفصاح (للجهة)'!$AD$4:$AD$7</c:f>
              <c:numCache>
                <c:formatCode>[$-2140000]0.0</c:formatCode>
                <c:ptCount val="4"/>
                <c:pt idx="0">
                  <c:v>35</c:v>
                </c:pt>
                <c:pt idx="1">
                  <c:v>35</c:v>
                </c:pt>
                <c:pt idx="2">
                  <c:v>20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0-46FE-9668-A5782E41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3087343"/>
        <c:axId val="1093088591"/>
      </c:barChart>
      <c:lineChart>
        <c:grouping val="standard"/>
        <c:varyColors val="0"/>
        <c:ser>
          <c:idx val="0"/>
          <c:order val="1"/>
          <c:tx>
            <c:strRef>
              <c:f>'الشفافية والإفصاح (للجهة)'!$AE$3</c:f>
              <c:strCache>
                <c:ptCount val="1"/>
                <c:pt idx="0">
                  <c:v>درجة المؤشر العظمى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35"/>
            <c:spPr>
              <a:solidFill>
                <a:srgbClr val="00B050"/>
              </a:solidFill>
              <a:ln w="9525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marker>
          <c:cat>
            <c:multiLvlStrRef>
              <c:f>'الشفافية والإفصاح (للجهة)'!$AA$4:$AC$7</c:f>
              <c:multiLvlStrCache>
                <c:ptCount val="4"/>
                <c:lvl>
                  <c:pt idx="0">
                    <c:v>نشر الأنظمة واللوائح والسياسات المعتمدة وإتاحتها للمستهدفين منها</c:v>
                  </c:pt>
                  <c:pt idx="1">
                    <c:v>الإفصاح عن بيانات المؤسسة والقائمين على شؤونها والتفاعل مع المهتمين بها.</c:v>
                  </c:pt>
                  <c:pt idx="2">
                    <c:v>نشر أهداف المؤسسة وتقارير البرامج والأنشطة المنفذة</c:v>
                  </c:pt>
                  <c:pt idx="3">
                    <c:v>توفير بيانات النموذج الشامل وتطابقه مع واقع المؤسسة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</c:lvl>
                <c:lvl>
                  <c:pt idx="0">
                    <c:v>نشر الأنظمة واللوائح والسياسات</c:v>
                  </c:pt>
                  <c:pt idx="1">
                    <c:v>الإفصاح عن بيانات</c:v>
                  </c:pt>
                  <c:pt idx="2">
                    <c:v>نشر أهداف المؤسسة</c:v>
                  </c:pt>
                  <c:pt idx="3">
                    <c:v>توفير بيانات النموذج الشامل</c:v>
                  </c:pt>
                </c:lvl>
              </c:multiLvlStrCache>
            </c:multiLvlStrRef>
          </c:cat>
          <c:val>
            <c:numRef>
              <c:f>'الشفافية والإفصاح (للجهة)'!$AE$4:$AE$7</c:f>
              <c:numCache>
                <c:formatCode>[$-2140000]0.0</c:formatCode>
                <c:ptCount val="4"/>
                <c:pt idx="0">
                  <c:v>35</c:v>
                </c:pt>
                <c:pt idx="1">
                  <c:v>40</c:v>
                </c:pt>
                <c:pt idx="2">
                  <c:v>20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40-46FE-9668-A5782E41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087343"/>
        <c:axId val="1093088591"/>
      </c:lineChart>
      <c:catAx>
        <c:axId val="108228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289871"/>
        <c:crosses val="autoZero"/>
        <c:auto val="1"/>
        <c:lblAlgn val="ctr"/>
        <c:lblOffset val="100"/>
        <c:noMultiLvlLbl val="0"/>
      </c:catAx>
      <c:valAx>
        <c:axId val="1082289871"/>
        <c:scaling>
          <c:orientation val="minMax"/>
          <c:max val="1"/>
        </c:scaling>
        <c:delete val="0"/>
        <c:axPos val="l"/>
        <c:numFmt formatCode="[$-2140000]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282383"/>
        <c:crosses val="autoZero"/>
        <c:crossBetween val="between"/>
      </c:valAx>
      <c:valAx>
        <c:axId val="1093088591"/>
        <c:scaling>
          <c:orientation val="minMax"/>
        </c:scaling>
        <c:delete val="0"/>
        <c:axPos val="r"/>
        <c:numFmt formatCode="[$-2140000]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087343"/>
        <c:crosses val="max"/>
        <c:crossBetween val="between"/>
      </c:valAx>
      <c:catAx>
        <c:axId val="1093087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30885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6163574316135825"/>
          <c:w val="1"/>
          <c:h val="3.83642568386416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318413522716409E-3"/>
          <c:y val="0.18338587364740688"/>
          <c:w val="0.94664033999380892"/>
          <c:h val="0.6889602908973153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'الشفافية والإفصاح (للجهة)'!$AD$3</c:f>
              <c:strCache>
                <c:ptCount val="1"/>
                <c:pt idx="0">
                  <c:v>درجة المؤشر للمنشأة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'الشفافية والإفصاح (للجهة)'!$AA$4:$AC$7</c:f>
              <c:multiLvlStrCache>
                <c:ptCount val="4"/>
                <c:lvl>
                  <c:pt idx="0">
                    <c:v>نشر الأنظمة واللوائح والسياسات المعتمدة وإتاحتها للمستهدفين منها</c:v>
                  </c:pt>
                  <c:pt idx="1">
                    <c:v>الإفصاح عن بيانات المؤسسة والقائمين على شؤونها والتفاعل مع المهتمين بها.</c:v>
                  </c:pt>
                  <c:pt idx="2">
                    <c:v>نشر أهداف المؤسسة وتقارير البرامج والأنشطة المنفذة</c:v>
                  </c:pt>
                  <c:pt idx="3">
                    <c:v>توفير بيانات النموذج الشامل وتطابقه مع واقع المؤسسة</c:v>
                  </c:pt>
                </c:lvl>
                <c:lvl>
                  <c:pt idx="0">
                    <c:v>١</c:v>
                  </c:pt>
                  <c:pt idx="1">
                    <c:v>٢</c:v>
                  </c:pt>
                  <c:pt idx="2">
                    <c:v>٣</c:v>
                  </c:pt>
                  <c:pt idx="3">
                    <c:v>٤</c:v>
                  </c:pt>
                </c:lvl>
                <c:lvl>
                  <c:pt idx="0">
                    <c:v>نشر الأنظمة واللوائح والسياسات</c:v>
                  </c:pt>
                  <c:pt idx="1">
                    <c:v>الإفصاح عن بيانات</c:v>
                  </c:pt>
                  <c:pt idx="2">
                    <c:v>نشر أهداف المؤسسة</c:v>
                  </c:pt>
                  <c:pt idx="3">
                    <c:v>توفير بيانات النموذج الشامل</c:v>
                  </c:pt>
                </c:lvl>
              </c:multiLvlStrCache>
            </c:multiLvlStrRef>
          </c:cat>
          <c:val>
            <c:numRef>
              <c:f>'الشفافية والإفصاح (للجهة)'!$AF$4:$AF$7</c:f>
              <c:numCache>
                <c:formatCode>[$-2140000]#,##0.00_);[Red]\(\-\ #,##0.00\)</c:formatCode>
                <c:ptCount val="4"/>
                <c:pt idx="0">
                  <c:v>0</c:v>
                </c:pt>
                <c:pt idx="1">
                  <c:v>-5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0-46FE-9668-A5782E41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82282383"/>
        <c:axId val="1082289871"/>
      </c:barChart>
      <c:catAx>
        <c:axId val="108228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289871"/>
        <c:crosses val="autoZero"/>
        <c:auto val="1"/>
        <c:lblAlgn val="ctr"/>
        <c:lblOffset val="100"/>
        <c:noMultiLvlLbl val="0"/>
      </c:catAx>
      <c:valAx>
        <c:axId val="1082289871"/>
        <c:scaling>
          <c:orientation val="minMax"/>
          <c:max val="1"/>
        </c:scaling>
        <c:delete val="0"/>
        <c:axPos val="l"/>
        <c:numFmt formatCode="[$-2140000]#,##0.00_);[Red]\(\-\ 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2282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'النتيجة الكلية'!$S$2</c:f>
              <c:strCache>
                <c:ptCount val="1"/>
                <c:pt idx="0">
                  <c:v>y</c:v>
                </c:pt>
              </c:strCache>
            </c:strRef>
          </c:tx>
          <c:spPr>
            <a:ln w="76200"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'النتيجة الكلية'!$R$3:$R$7</c:f>
              <c:numCache>
                <c:formatCode>[$-2140000]#,##0_);[Red]\(\-#,##0\)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50</c:v>
                </c:pt>
                <c:pt idx="3">
                  <c:v>100</c:v>
                </c:pt>
                <c:pt idx="4">
                  <c:v>50</c:v>
                </c:pt>
              </c:numCache>
            </c:numRef>
          </c:xVal>
          <c:yVal>
            <c:numRef>
              <c:f>'النتيجة الكلية'!$S$3:$S$7</c:f>
              <c:numCache>
                <c:formatCode>[$-2140000]#,##0_);[Red]\(\-#,##0\)</c:formatCode>
                <c:ptCount val="5"/>
                <c:pt idx="0">
                  <c:v>6.1257422745431001E-15</c:v>
                </c:pt>
                <c:pt idx="1">
                  <c:v>-2</c:v>
                </c:pt>
                <c:pt idx="2">
                  <c:v>2</c:v>
                </c:pt>
                <c:pt idx="3">
                  <c:v>6.1257422745431001E-15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77-4631-9050-A16DB59BC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947448"/>
        <c:axId val="434947840"/>
      </c:scatterChart>
      <c:valAx>
        <c:axId val="434947448"/>
        <c:scaling>
          <c:orientation val="minMax"/>
          <c:max val="100"/>
          <c:min val="0"/>
        </c:scaling>
        <c:delete val="1"/>
        <c:axPos val="b"/>
        <c:numFmt formatCode="[$-2140000]#,##0_);[Red]\(\-#,##0\)" sourceLinked="1"/>
        <c:majorTickMark val="out"/>
        <c:minorTickMark val="none"/>
        <c:tickLblPos val="none"/>
        <c:crossAx val="434947840"/>
        <c:crosses val="autoZero"/>
        <c:crossBetween val="midCat"/>
      </c:valAx>
      <c:valAx>
        <c:axId val="434947840"/>
        <c:scaling>
          <c:orientation val="minMax"/>
          <c:max val="60"/>
          <c:min val="-10"/>
        </c:scaling>
        <c:delete val="1"/>
        <c:axPos val="l"/>
        <c:numFmt formatCode="[$-2140000]#,##0_);[Red]\(\-#,##0\)" sourceLinked="1"/>
        <c:majorTickMark val="out"/>
        <c:minorTickMark val="none"/>
        <c:tickLblPos val="none"/>
        <c:crossAx val="43494744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127000</xdr:colOff>
      <xdr:row>0</xdr:row>
      <xdr:rowOff>344714</xdr:rowOff>
    </xdr:from>
    <xdr:to>
      <xdr:col>20</xdr:col>
      <xdr:colOff>435429</xdr:colOff>
      <xdr:row>0</xdr:row>
      <xdr:rowOff>807357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50369571" y="344714"/>
          <a:ext cx="308429" cy="4626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63500</xdr:rowOff>
    </xdr:from>
    <xdr:to>
      <xdr:col>32</xdr:col>
      <xdr:colOff>2413000</xdr:colOff>
      <xdr:row>298</xdr:row>
      <xdr:rowOff>381000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3075500" y="63500"/>
          <a:ext cx="40259000" cy="1028700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603251</xdr:colOff>
      <xdr:row>33</xdr:row>
      <xdr:rowOff>31750</xdr:rowOff>
    </xdr:from>
    <xdr:to>
      <xdr:col>36</xdr:col>
      <xdr:colOff>1</xdr:colOff>
      <xdr:row>51</xdr:row>
      <xdr:rowOff>523875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619577</xdr:colOff>
      <xdr:row>13</xdr:row>
      <xdr:rowOff>7709</xdr:rowOff>
    </xdr:from>
    <xdr:to>
      <xdr:col>35</xdr:col>
      <xdr:colOff>580194</xdr:colOff>
      <xdr:row>31</xdr:row>
      <xdr:rowOff>285749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0.94166</cdr:x>
      <cdr:y>0.9282</cdr:y>
    </cdr:from>
    <cdr:to>
      <cdr:x>0.98877</cdr:x>
      <cdr:y>0.9556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59014" y="5834296"/>
          <a:ext cx="408241" cy="17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>
          <a:spAutoFit/>
        </a:bodyPr>
        <a:lstStyle xmlns:a="http://schemas.openxmlformats.org/drawingml/2006/main"/>
        <a:p xmlns:a="http://schemas.openxmlformats.org/drawingml/2006/main">
          <a:r>
            <a:rPr lang="ar-SA" sz="1100"/>
            <a:t>المجال</a:t>
          </a:r>
          <a:endParaRPr lang="en-US" sz="1100"/>
        </a:p>
      </cdr:txBody>
    </cdr:sp>
  </cdr:relSizeAnchor>
  <cdr:relSizeAnchor xmlns:cdr="http://schemas.openxmlformats.org/drawingml/2006/chartDrawing">
    <cdr:from>
      <cdr:x>0.93716</cdr:x>
      <cdr:y>0.89679</cdr:y>
    </cdr:from>
    <cdr:to>
      <cdr:x>0.99327</cdr:x>
      <cdr:y>0.92169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120086" y="5636817"/>
          <a:ext cx="486096" cy="156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ar-SA" sz="1000"/>
            <a:t>رقم المؤشر</a:t>
          </a:r>
          <a:endParaRPr lang="en-US" sz="1000"/>
        </a:p>
      </cdr:txBody>
    </cdr:sp>
  </cdr:relSizeAnchor>
  <cdr:relSizeAnchor xmlns:cdr="http://schemas.openxmlformats.org/drawingml/2006/chartDrawing">
    <cdr:from>
      <cdr:x>0.94166</cdr:x>
      <cdr:y>0.84527</cdr:y>
    </cdr:from>
    <cdr:to>
      <cdr:x>0.98877</cdr:x>
      <cdr:y>0.87017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159014" y="5312983"/>
          <a:ext cx="408241" cy="156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ctr" anchorCtr="1">
          <a:spAutoFit/>
        </a:bodyPr>
        <a:lstStyle xmlns:a="http://schemas.openxmlformats.org/drawingml/2006/main"/>
        <a:p xmlns:a="http://schemas.openxmlformats.org/drawingml/2006/main">
          <a:r>
            <a:rPr lang="ar-SA" sz="1000"/>
            <a:t>المؤشر</a:t>
          </a:r>
          <a:endParaRPr lang="en-US" sz="1000"/>
        </a:p>
      </cdr:txBody>
    </cdr:sp>
  </cdr:relSizeAnchor>
  <cdr:relSizeAnchor xmlns:cdr="http://schemas.openxmlformats.org/drawingml/2006/chartDrawing">
    <cdr:from>
      <cdr:x>0.01806</cdr:x>
      <cdr:y>0.89605</cdr:y>
    </cdr:from>
    <cdr:to>
      <cdr:x>1</cdr:x>
      <cdr:y>0.89605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B1C0AAEE-3532-410C-80A4-1B482EB10997}"/>
            </a:ext>
          </a:extLst>
        </cdr:cNvPr>
        <cdr:cNvCxnSpPr/>
      </cdr:nvCxnSpPr>
      <cdr:spPr>
        <a:xfrm xmlns:a="http://schemas.openxmlformats.org/drawingml/2006/main">
          <a:off x="156449" y="5632174"/>
          <a:ext cx="8508080" cy="0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0.01806</cdr:x>
      <cdr:y>0.92167</cdr:y>
    </cdr:from>
    <cdr:to>
      <cdr:x>1</cdr:x>
      <cdr:y>0.92167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97DDA12F-CC7F-4AC0-B398-2D84BB3F425D}"/>
            </a:ext>
          </a:extLst>
        </cdr:cNvPr>
        <cdr:cNvCxnSpPr/>
      </cdr:nvCxnSpPr>
      <cdr:spPr>
        <a:xfrm xmlns:a="http://schemas.openxmlformats.org/drawingml/2006/main">
          <a:off x="156449" y="5793225"/>
          <a:ext cx="8508080" cy="0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591911</xdr:colOff>
      <xdr:row>9</xdr:row>
      <xdr:rowOff>73957</xdr:rowOff>
    </xdr:from>
    <xdr:to>
      <xdr:col>43</xdr:col>
      <xdr:colOff>343649</xdr:colOff>
      <xdr:row>35</xdr:row>
      <xdr:rowOff>74794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591911</xdr:colOff>
      <xdr:row>37</xdr:row>
      <xdr:rowOff>73957</xdr:rowOff>
    </xdr:from>
    <xdr:to>
      <xdr:col>43</xdr:col>
      <xdr:colOff>343649</xdr:colOff>
      <xdr:row>67</xdr:row>
      <xdr:rowOff>201794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0.9438</cdr:x>
      <cdr:y>0.93385</cdr:y>
    </cdr:from>
    <cdr:to>
      <cdr:x>0.99099</cdr:x>
      <cdr:y>0.96121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657731" y="9327735"/>
          <a:ext cx="832830" cy="273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100"/>
            <a:t>المجال</a:t>
          </a:r>
          <a:endParaRPr lang="en-US" sz="1100"/>
        </a:p>
      </cdr:txBody>
    </cdr:sp>
  </cdr:relSizeAnchor>
  <cdr:relSizeAnchor xmlns:cdr="http://schemas.openxmlformats.org/drawingml/2006/chartDrawing">
    <cdr:from>
      <cdr:x>0.9438</cdr:x>
      <cdr:y>0.90248</cdr:y>
    </cdr:from>
    <cdr:to>
      <cdr:x>1</cdr:x>
      <cdr:y>0.92735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657731" y="9014420"/>
          <a:ext cx="991936" cy="248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SA" sz="1000"/>
            <a:t>رقم المؤشر</a:t>
          </a:r>
          <a:endParaRPr lang="en-US" sz="1000"/>
        </a:p>
      </cdr:txBody>
    </cdr:sp>
  </cdr:relSizeAnchor>
  <cdr:relSizeAnchor xmlns:cdr="http://schemas.openxmlformats.org/drawingml/2006/chartDrawing">
    <cdr:from>
      <cdr:x>0.9438</cdr:x>
      <cdr:y>0.87415</cdr:y>
    </cdr:from>
    <cdr:to>
      <cdr:x>0.99099</cdr:x>
      <cdr:y>0.89902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622706" y="8730714"/>
          <a:ext cx="831079" cy="248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000"/>
            <a:t>المؤشر</a:t>
          </a:r>
          <a:endParaRPr lang="en-US" sz="1000"/>
        </a:p>
      </cdr:txBody>
    </cdr:sp>
  </cdr:relSizeAnchor>
  <cdr:relSizeAnchor xmlns:cdr="http://schemas.openxmlformats.org/drawingml/2006/chartDrawing">
    <cdr:from>
      <cdr:x>0.0064</cdr:x>
      <cdr:y>0.90174</cdr:y>
    </cdr:from>
    <cdr:to>
      <cdr:x>1</cdr:x>
      <cdr:y>0.90174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26D090CA-C47E-4A7C-AE70-0763A732BCC0}"/>
            </a:ext>
          </a:extLst>
        </cdr:cNvPr>
        <cdr:cNvCxnSpPr/>
      </cdr:nvCxnSpPr>
      <cdr:spPr>
        <a:xfrm xmlns:a="http://schemas.openxmlformats.org/drawingml/2006/main">
          <a:off x="112740" y="9006295"/>
          <a:ext cx="17499816" cy="0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0.00706</cdr:x>
      <cdr:y>0.92733</cdr:y>
    </cdr:from>
    <cdr:to>
      <cdr:x>1</cdr:x>
      <cdr:y>0.92733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C2C7F60F-87A4-469E-828F-298E405BCF3C}"/>
            </a:ext>
          </a:extLst>
        </cdr:cNvPr>
        <cdr:cNvCxnSpPr/>
      </cdr:nvCxnSpPr>
      <cdr:spPr>
        <a:xfrm xmlns:a="http://schemas.openxmlformats.org/drawingml/2006/main">
          <a:off x="124285" y="9261835"/>
          <a:ext cx="17488271" cy="0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0.9438</cdr:x>
      <cdr:y>0.93385</cdr:y>
    </cdr:from>
    <cdr:to>
      <cdr:x>0.99099</cdr:x>
      <cdr:y>0.96121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657731" y="9327735"/>
          <a:ext cx="832830" cy="273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100"/>
            <a:t>المجال</a:t>
          </a:r>
          <a:endParaRPr lang="en-US" sz="1100"/>
        </a:p>
      </cdr:txBody>
    </cdr:sp>
  </cdr:relSizeAnchor>
  <cdr:relSizeAnchor xmlns:cdr="http://schemas.openxmlformats.org/drawingml/2006/chartDrawing">
    <cdr:from>
      <cdr:x>0.9438</cdr:x>
      <cdr:y>0.90248</cdr:y>
    </cdr:from>
    <cdr:to>
      <cdr:x>1</cdr:x>
      <cdr:y>0.92735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657731" y="9014420"/>
          <a:ext cx="991936" cy="2483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ar-SA" sz="1000"/>
            <a:t>رقم المؤشر</a:t>
          </a:r>
          <a:endParaRPr lang="en-US" sz="1000"/>
        </a:p>
      </cdr:txBody>
    </cdr:sp>
  </cdr:relSizeAnchor>
  <cdr:relSizeAnchor xmlns:cdr="http://schemas.openxmlformats.org/drawingml/2006/chartDrawing">
    <cdr:from>
      <cdr:x>0.9438</cdr:x>
      <cdr:y>0.87415</cdr:y>
    </cdr:from>
    <cdr:to>
      <cdr:x>0.99099</cdr:x>
      <cdr:y>0.89902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622706" y="8730714"/>
          <a:ext cx="831079" cy="248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SA" sz="1000"/>
            <a:t>المؤشر</a:t>
          </a:r>
          <a:endParaRPr lang="en-US" sz="1000"/>
        </a:p>
      </cdr:txBody>
    </cdr:sp>
  </cdr:relSizeAnchor>
  <cdr:relSizeAnchor xmlns:cdr="http://schemas.openxmlformats.org/drawingml/2006/chartDrawing">
    <cdr:from>
      <cdr:x>0.0064</cdr:x>
      <cdr:y>0.90174</cdr:y>
    </cdr:from>
    <cdr:to>
      <cdr:x>1</cdr:x>
      <cdr:y>0.90174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F94EFE5-A83F-4AB6-B53F-ADFFD7E2A019}"/>
            </a:ext>
          </a:extLst>
        </cdr:cNvPr>
        <cdr:cNvCxnSpPr/>
      </cdr:nvCxnSpPr>
      <cdr:spPr>
        <a:xfrm xmlns:a="http://schemas.openxmlformats.org/drawingml/2006/main">
          <a:off x="112740" y="9006295"/>
          <a:ext cx="17499816" cy="0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0.00706</cdr:x>
      <cdr:y>0.92733</cdr:y>
    </cdr:from>
    <cdr:to>
      <cdr:x>1</cdr:x>
      <cdr:y>0.92733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C74F81E0-1A5C-43FF-8538-53D40E30851E}"/>
            </a:ext>
          </a:extLst>
        </cdr:cNvPr>
        <cdr:cNvCxnSpPr/>
      </cdr:nvCxnSpPr>
      <cdr:spPr>
        <a:xfrm xmlns:a="http://schemas.openxmlformats.org/drawingml/2006/main">
          <a:off x="124285" y="9261835"/>
          <a:ext cx="17488271" cy="0"/>
        </a:xfrm>
        <a:prstGeom xmlns:a="http://schemas.openxmlformats.org/drawingml/2006/main" prst="lin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1151082</xdr:colOff>
      <xdr:row>5</xdr:row>
      <xdr:rowOff>156442</xdr:rowOff>
    </xdr:from>
    <xdr:to>
      <xdr:col>4</xdr:col>
      <xdr:colOff>315379</xdr:colOff>
      <xdr:row>17</xdr:row>
      <xdr:rowOff>226291</xdr:rowOff>
    </xdr:to>
    <xdr:grpSp>
      <xdr:nvGrpSpPr>
        <xdr:cNvPr id="2" name="a) Light Linear Dial Widge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1697651446" y="2347192"/>
          <a:ext cx="4260172" cy="4070349"/>
          <a:chOff x="7926124" y="1199330"/>
          <a:chExt cx="4292980" cy="3730770"/>
        </a:xfrm>
      </xdr:grpSpPr>
      <xdr:sp macro="" textlink="">
        <xdr:nvSpPr>
          <xdr:cNvPr id="3" name="Light Linear Dial Background Rectangle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 bwMode="auto">
          <a:xfrm>
            <a:off x="7926124" y="1199330"/>
            <a:ext cx="4292980" cy="3730770"/>
          </a:xfrm>
          <a:prstGeom prst="roundRect">
            <a:avLst>
              <a:gd name="adj" fmla="val 10723"/>
            </a:avLst>
          </a:prstGeom>
          <a:gradFill flip="none" rotWithShape="1">
            <a:gsLst>
              <a:gs pos="0">
                <a:srgbClr val="FFFFFF"/>
              </a:gs>
              <a:gs pos="100000">
                <a:schemeClr val="accent5">
                  <a:lumMod val="60000"/>
                  <a:lumOff val="40000"/>
                </a:schemeClr>
              </a:gs>
            </a:gsLst>
            <a:lin ang="5400000" scaled="0"/>
            <a:tileRect/>
          </a:gradFill>
          <a:ln w="28575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  <xdr:grpSp>
        <xdr:nvGrpSpPr>
          <xdr:cNvPr id="4" name="Linear Dial Scale Coloured Panels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>
            <a:grpSpLocks/>
          </xdr:cNvGrpSpPr>
        </xdr:nvGrpSpPr>
        <xdr:grpSpPr bwMode="auto">
          <a:xfrm>
            <a:off x="8191700" y="2250814"/>
            <a:ext cx="3716757" cy="1770116"/>
            <a:chOff x="193063" y="1155645"/>
            <a:chExt cx="3658893" cy="1807321"/>
          </a:xfrm>
        </xdr:grpSpPr>
        <xdr:sp macro="" textlink="">
          <xdr:nvSpPr>
            <xdr:cNvPr id="17" name="Dial Panel #5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>
              <a:spLocks/>
            </xdr:cNvSpPr>
          </xdr:nvSpPr>
          <xdr:spPr bwMode="auto">
            <a:xfrm>
              <a:off x="3024822" y="1944261"/>
              <a:ext cx="827134" cy="1018705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483" y="2258"/>
                  </a:moveTo>
                  <a:lnTo>
                    <a:pt x="596" y="2256"/>
                  </a:lnTo>
                  <a:lnTo>
                    <a:pt x="709" y="2253"/>
                  </a:lnTo>
                  <a:lnTo>
                    <a:pt x="822" y="2251"/>
                  </a:lnTo>
                  <a:lnTo>
                    <a:pt x="935" y="2248"/>
                  </a:lnTo>
                  <a:lnTo>
                    <a:pt x="1047" y="2246"/>
                  </a:lnTo>
                  <a:lnTo>
                    <a:pt x="1160" y="2243"/>
                  </a:lnTo>
                  <a:lnTo>
                    <a:pt x="1273" y="2241"/>
                  </a:lnTo>
                  <a:lnTo>
                    <a:pt x="1386" y="2239"/>
                  </a:lnTo>
                  <a:lnTo>
                    <a:pt x="1499" y="2236"/>
                  </a:lnTo>
                  <a:lnTo>
                    <a:pt x="1612" y="2234"/>
                  </a:lnTo>
                  <a:lnTo>
                    <a:pt x="1725" y="2231"/>
                  </a:lnTo>
                  <a:lnTo>
                    <a:pt x="1838" y="2229"/>
                  </a:lnTo>
                  <a:lnTo>
                    <a:pt x="1836" y="2179"/>
                  </a:lnTo>
                  <a:lnTo>
                    <a:pt x="1834" y="2130"/>
                  </a:lnTo>
                  <a:lnTo>
                    <a:pt x="1832" y="2080"/>
                  </a:lnTo>
                  <a:lnTo>
                    <a:pt x="1829" y="2031"/>
                  </a:lnTo>
                  <a:lnTo>
                    <a:pt x="1825" y="1982"/>
                  </a:lnTo>
                  <a:lnTo>
                    <a:pt x="1820" y="1932"/>
                  </a:lnTo>
                  <a:lnTo>
                    <a:pt x="1815" y="1883"/>
                  </a:lnTo>
                  <a:lnTo>
                    <a:pt x="1810" y="1834"/>
                  </a:lnTo>
                  <a:lnTo>
                    <a:pt x="1804" y="1785"/>
                  </a:lnTo>
                  <a:lnTo>
                    <a:pt x="1797" y="1736"/>
                  </a:lnTo>
                  <a:lnTo>
                    <a:pt x="1789" y="1687"/>
                  </a:lnTo>
                  <a:lnTo>
                    <a:pt x="1782" y="1638"/>
                  </a:lnTo>
                  <a:lnTo>
                    <a:pt x="1773" y="1589"/>
                  </a:lnTo>
                  <a:lnTo>
                    <a:pt x="1764" y="1540"/>
                  </a:lnTo>
                  <a:lnTo>
                    <a:pt x="1754" y="1492"/>
                  </a:lnTo>
                  <a:lnTo>
                    <a:pt x="1744" y="1443"/>
                  </a:lnTo>
                  <a:lnTo>
                    <a:pt x="1733" y="1395"/>
                  </a:lnTo>
                  <a:lnTo>
                    <a:pt x="1721" y="1347"/>
                  </a:lnTo>
                  <a:lnTo>
                    <a:pt x="1709" y="1299"/>
                  </a:lnTo>
                  <a:lnTo>
                    <a:pt x="1696" y="1251"/>
                  </a:lnTo>
                  <a:lnTo>
                    <a:pt x="1683" y="1203"/>
                  </a:lnTo>
                  <a:lnTo>
                    <a:pt x="1669" y="1156"/>
                  </a:lnTo>
                  <a:lnTo>
                    <a:pt x="1655" y="1108"/>
                  </a:lnTo>
                  <a:lnTo>
                    <a:pt x="1640" y="1061"/>
                  </a:lnTo>
                  <a:lnTo>
                    <a:pt x="1624" y="1014"/>
                  </a:lnTo>
                  <a:lnTo>
                    <a:pt x="1608" y="967"/>
                  </a:lnTo>
                  <a:lnTo>
                    <a:pt x="1591" y="921"/>
                  </a:lnTo>
                  <a:lnTo>
                    <a:pt x="1574" y="874"/>
                  </a:lnTo>
                  <a:lnTo>
                    <a:pt x="1556" y="828"/>
                  </a:lnTo>
                  <a:lnTo>
                    <a:pt x="1538" y="782"/>
                  </a:lnTo>
                  <a:lnTo>
                    <a:pt x="1519" y="736"/>
                  </a:lnTo>
                  <a:lnTo>
                    <a:pt x="1499" y="691"/>
                  </a:lnTo>
                  <a:lnTo>
                    <a:pt x="1479" y="646"/>
                  </a:lnTo>
                  <a:lnTo>
                    <a:pt x="1458" y="601"/>
                  </a:lnTo>
                  <a:lnTo>
                    <a:pt x="1437" y="556"/>
                  </a:lnTo>
                  <a:lnTo>
                    <a:pt x="1416" y="511"/>
                  </a:lnTo>
                  <a:lnTo>
                    <a:pt x="1393" y="467"/>
                  </a:lnTo>
                  <a:lnTo>
                    <a:pt x="1370" y="423"/>
                  </a:lnTo>
                  <a:lnTo>
                    <a:pt x="1347" y="379"/>
                  </a:lnTo>
                  <a:lnTo>
                    <a:pt x="1323" y="336"/>
                  </a:lnTo>
                  <a:lnTo>
                    <a:pt x="1299" y="293"/>
                  </a:lnTo>
                  <a:lnTo>
                    <a:pt x="1274" y="250"/>
                  </a:lnTo>
                  <a:lnTo>
                    <a:pt x="1248" y="208"/>
                  </a:lnTo>
                  <a:lnTo>
                    <a:pt x="1222" y="165"/>
                  </a:lnTo>
                  <a:lnTo>
                    <a:pt x="1196" y="124"/>
                  </a:lnTo>
                  <a:lnTo>
                    <a:pt x="1169" y="82"/>
                  </a:lnTo>
                  <a:lnTo>
                    <a:pt x="1142" y="41"/>
                  </a:lnTo>
                  <a:lnTo>
                    <a:pt x="1114" y="0"/>
                  </a:lnTo>
                  <a:lnTo>
                    <a:pt x="1021" y="64"/>
                  </a:lnTo>
                  <a:lnTo>
                    <a:pt x="928" y="129"/>
                  </a:lnTo>
                  <a:lnTo>
                    <a:pt x="835" y="193"/>
                  </a:lnTo>
                  <a:lnTo>
                    <a:pt x="742" y="258"/>
                  </a:lnTo>
                  <a:lnTo>
                    <a:pt x="650" y="322"/>
                  </a:lnTo>
                  <a:lnTo>
                    <a:pt x="557" y="386"/>
                  </a:lnTo>
                  <a:lnTo>
                    <a:pt x="464" y="451"/>
                  </a:lnTo>
                  <a:lnTo>
                    <a:pt x="371" y="515"/>
                  </a:lnTo>
                  <a:lnTo>
                    <a:pt x="279" y="579"/>
                  </a:lnTo>
                  <a:lnTo>
                    <a:pt x="186" y="644"/>
                  </a:lnTo>
                  <a:lnTo>
                    <a:pt x="93" y="708"/>
                  </a:lnTo>
                  <a:lnTo>
                    <a:pt x="0" y="773"/>
                  </a:lnTo>
                  <a:lnTo>
                    <a:pt x="19" y="800"/>
                  </a:lnTo>
                  <a:lnTo>
                    <a:pt x="37" y="827"/>
                  </a:lnTo>
                  <a:lnTo>
                    <a:pt x="55" y="855"/>
                  </a:lnTo>
                  <a:lnTo>
                    <a:pt x="73" y="883"/>
                  </a:lnTo>
                  <a:lnTo>
                    <a:pt x="90" y="911"/>
                  </a:lnTo>
                  <a:lnTo>
                    <a:pt x="107" y="939"/>
                  </a:lnTo>
                  <a:lnTo>
                    <a:pt x="124" y="968"/>
                  </a:lnTo>
                  <a:lnTo>
                    <a:pt x="140" y="996"/>
                  </a:lnTo>
                  <a:lnTo>
                    <a:pt x="156" y="1025"/>
                  </a:lnTo>
                  <a:lnTo>
                    <a:pt x="171" y="1055"/>
                  </a:lnTo>
                  <a:lnTo>
                    <a:pt x="187" y="1084"/>
                  </a:lnTo>
                  <a:lnTo>
                    <a:pt x="201" y="1113"/>
                  </a:lnTo>
                  <a:lnTo>
                    <a:pt x="216" y="1143"/>
                  </a:lnTo>
                  <a:lnTo>
                    <a:pt x="230" y="1173"/>
                  </a:lnTo>
                  <a:lnTo>
                    <a:pt x="244" y="1203"/>
                  </a:lnTo>
                  <a:lnTo>
                    <a:pt x="257" y="1233"/>
                  </a:lnTo>
                  <a:lnTo>
                    <a:pt x="270" y="1263"/>
                  </a:lnTo>
                  <a:lnTo>
                    <a:pt x="283" y="1294"/>
                  </a:lnTo>
                  <a:lnTo>
                    <a:pt x="295" y="1325"/>
                  </a:lnTo>
                  <a:lnTo>
                    <a:pt x="307" y="1355"/>
                  </a:lnTo>
                  <a:lnTo>
                    <a:pt x="319" y="1386"/>
                  </a:lnTo>
                  <a:lnTo>
                    <a:pt x="330" y="1417"/>
                  </a:lnTo>
                  <a:lnTo>
                    <a:pt x="341" y="1449"/>
                  </a:lnTo>
                  <a:lnTo>
                    <a:pt x="351" y="1480"/>
                  </a:lnTo>
                  <a:lnTo>
                    <a:pt x="361" y="1511"/>
                  </a:lnTo>
                  <a:lnTo>
                    <a:pt x="371" y="1543"/>
                  </a:lnTo>
                  <a:lnTo>
                    <a:pt x="380" y="1575"/>
                  </a:lnTo>
                  <a:lnTo>
                    <a:pt x="389" y="1606"/>
                  </a:lnTo>
                  <a:lnTo>
                    <a:pt x="397" y="1638"/>
                  </a:lnTo>
                  <a:lnTo>
                    <a:pt x="405" y="1670"/>
                  </a:lnTo>
                  <a:lnTo>
                    <a:pt x="413" y="1702"/>
                  </a:lnTo>
                  <a:lnTo>
                    <a:pt x="420" y="1735"/>
                  </a:lnTo>
                  <a:lnTo>
                    <a:pt x="427" y="1767"/>
                  </a:lnTo>
                  <a:lnTo>
                    <a:pt x="434" y="1799"/>
                  </a:lnTo>
                  <a:lnTo>
                    <a:pt x="440" y="1832"/>
                  </a:lnTo>
                  <a:lnTo>
                    <a:pt x="445" y="1864"/>
                  </a:lnTo>
                  <a:lnTo>
                    <a:pt x="451" y="1897"/>
                  </a:lnTo>
                  <a:lnTo>
                    <a:pt x="456" y="1930"/>
                  </a:lnTo>
                  <a:lnTo>
                    <a:pt x="460" y="1962"/>
                  </a:lnTo>
                  <a:lnTo>
                    <a:pt x="464" y="1995"/>
                  </a:lnTo>
                  <a:lnTo>
                    <a:pt x="468" y="2028"/>
                  </a:lnTo>
                  <a:lnTo>
                    <a:pt x="471" y="2061"/>
                  </a:lnTo>
                  <a:lnTo>
                    <a:pt x="474" y="2094"/>
                  </a:lnTo>
                  <a:lnTo>
                    <a:pt x="477" y="2126"/>
                  </a:lnTo>
                  <a:lnTo>
                    <a:pt x="479" y="2159"/>
                  </a:lnTo>
                  <a:lnTo>
                    <a:pt x="481" y="2192"/>
                  </a:lnTo>
                  <a:lnTo>
                    <a:pt x="482" y="2225"/>
                  </a:lnTo>
                  <a:lnTo>
                    <a:pt x="483" y="2258"/>
                  </a:lnTo>
                </a:path>
              </a:pathLst>
            </a:custGeom>
            <a:solidFill>
              <a:srgbClr val="54E349"/>
            </a:solidFill>
            <a:ln w="25400">
              <a:solidFill>
                <a:srgbClr val="262626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8" name="Dial Panel #4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SpPr>
              <a:spLocks/>
            </xdr:cNvSpPr>
          </xdr:nvSpPr>
          <xdr:spPr bwMode="auto">
            <a:xfrm>
              <a:off x="2424832" y="1258057"/>
              <a:ext cx="1054247" cy="991636"/>
            </a:xfrm>
            <a:custGeom>
              <a:avLst/>
              <a:gdLst>
                <a:gd name="T0" fmla="*/ 2147483647 w 2342"/>
                <a:gd name="T1" fmla="*/ 2147483647 h 2198"/>
                <a:gd name="T2" fmla="*/ 2147483647 w 2342"/>
                <a:gd name="T3" fmla="*/ 2147483647 h 2198"/>
                <a:gd name="T4" fmla="*/ 2147483647 w 2342"/>
                <a:gd name="T5" fmla="*/ 2147483647 h 2198"/>
                <a:gd name="T6" fmla="*/ 2147483647 w 2342"/>
                <a:gd name="T7" fmla="*/ 2147483647 h 2198"/>
                <a:gd name="T8" fmla="*/ 2147483647 w 2342"/>
                <a:gd name="T9" fmla="*/ 2147483647 h 2198"/>
                <a:gd name="T10" fmla="*/ 2147483647 w 2342"/>
                <a:gd name="T11" fmla="*/ 2147483647 h 2198"/>
                <a:gd name="T12" fmla="*/ 2147483647 w 2342"/>
                <a:gd name="T13" fmla="*/ 2147483647 h 2198"/>
                <a:gd name="T14" fmla="*/ 2147483647 w 2342"/>
                <a:gd name="T15" fmla="*/ 2147483647 h 2198"/>
                <a:gd name="T16" fmla="*/ 2147483647 w 2342"/>
                <a:gd name="T17" fmla="*/ 2147483647 h 2198"/>
                <a:gd name="T18" fmla="*/ 2147483647 w 2342"/>
                <a:gd name="T19" fmla="*/ 2147483647 h 2198"/>
                <a:gd name="T20" fmla="*/ 2147483647 w 2342"/>
                <a:gd name="T21" fmla="*/ 2147483647 h 2198"/>
                <a:gd name="T22" fmla="*/ 2147483647 w 2342"/>
                <a:gd name="T23" fmla="*/ 2147483647 h 2198"/>
                <a:gd name="T24" fmla="*/ 2147483647 w 2342"/>
                <a:gd name="T25" fmla="*/ 2147483647 h 2198"/>
                <a:gd name="T26" fmla="*/ 2147483647 w 2342"/>
                <a:gd name="T27" fmla="*/ 2147483647 h 2198"/>
                <a:gd name="T28" fmla="*/ 2147483647 w 2342"/>
                <a:gd name="T29" fmla="*/ 2147483647 h 2198"/>
                <a:gd name="T30" fmla="*/ 2147483647 w 2342"/>
                <a:gd name="T31" fmla="*/ 2147483647 h 2198"/>
                <a:gd name="T32" fmla="*/ 2147483647 w 2342"/>
                <a:gd name="T33" fmla="*/ 2147483647 h 2198"/>
                <a:gd name="T34" fmla="*/ 2147483647 w 2342"/>
                <a:gd name="T35" fmla="*/ 2147483647 h 2198"/>
                <a:gd name="T36" fmla="*/ 2147483647 w 2342"/>
                <a:gd name="T37" fmla="*/ 2147483647 h 2198"/>
                <a:gd name="T38" fmla="*/ 2147483647 w 2342"/>
                <a:gd name="T39" fmla="*/ 2147483647 h 2198"/>
                <a:gd name="T40" fmla="*/ 2147483647 w 2342"/>
                <a:gd name="T41" fmla="*/ 2147483647 h 2198"/>
                <a:gd name="T42" fmla="*/ 2147483647 w 2342"/>
                <a:gd name="T43" fmla="*/ 2147483647 h 2198"/>
                <a:gd name="T44" fmla="*/ 2147483647 w 2342"/>
                <a:gd name="T45" fmla="*/ 2147483647 h 2198"/>
                <a:gd name="T46" fmla="*/ 2147483647 w 2342"/>
                <a:gd name="T47" fmla="*/ 2147483647 h 2198"/>
                <a:gd name="T48" fmla="*/ 2147483647 w 2342"/>
                <a:gd name="T49" fmla="*/ 2147483647 h 2198"/>
                <a:gd name="T50" fmla="*/ 2147483647 w 2342"/>
                <a:gd name="T51" fmla="*/ 2147483647 h 2198"/>
                <a:gd name="T52" fmla="*/ 2147483647 w 2342"/>
                <a:gd name="T53" fmla="*/ 2147483647 h 2198"/>
                <a:gd name="T54" fmla="*/ 2147483647 w 2342"/>
                <a:gd name="T55" fmla="*/ 2147483647 h 2198"/>
                <a:gd name="T56" fmla="*/ 2147483647 w 2342"/>
                <a:gd name="T57" fmla="*/ 2147483647 h 2198"/>
                <a:gd name="T58" fmla="*/ 2147483647 w 2342"/>
                <a:gd name="T59" fmla="*/ 2147483647 h 2198"/>
                <a:gd name="T60" fmla="*/ 2147483647 w 2342"/>
                <a:gd name="T61" fmla="*/ 2147483647 h 2198"/>
                <a:gd name="T62" fmla="*/ 2147483647 w 2342"/>
                <a:gd name="T63" fmla="*/ 2147483647 h 2198"/>
                <a:gd name="T64" fmla="*/ 2147483647 w 2342"/>
                <a:gd name="T65" fmla="*/ 2147483647 h 2198"/>
                <a:gd name="T66" fmla="*/ 2147483647 w 2342"/>
                <a:gd name="T67" fmla="*/ 2147483647 h 2198"/>
                <a:gd name="T68" fmla="*/ 2147483647 w 2342"/>
                <a:gd name="T69" fmla="*/ 2147483647 h 2198"/>
                <a:gd name="T70" fmla="*/ 2147483647 w 2342"/>
                <a:gd name="T71" fmla="*/ 2147483647 h 2198"/>
                <a:gd name="T72" fmla="*/ 2147483647 w 2342"/>
                <a:gd name="T73" fmla="*/ 2147483647 h 2198"/>
                <a:gd name="T74" fmla="*/ 2147483647 w 2342"/>
                <a:gd name="T75" fmla="*/ 2147483647 h 2198"/>
                <a:gd name="T76" fmla="*/ 2147483647 w 2342"/>
                <a:gd name="T77" fmla="*/ 2147483647 h 2198"/>
                <a:gd name="T78" fmla="*/ 2147483647 w 2342"/>
                <a:gd name="T79" fmla="*/ 2147483647 h 2198"/>
                <a:gd name="T80" fmla="*/ 2147483647 w 2342"/>
                <a:gd name="T81" fmla="*/ 2147483647 h 2198"/>
                <a:gd name="T82" fmla="*/ 2147483647 w 2342"/>
                <a:gd name="T83" fmla="*/ 2147483647 h 2198"/>
                <a:gd name="T84" fmla="*/ 2147483647 w 2342"/>
                <a:gd name="T85" fmla="*/ 2147483647 h 2198"/>
                <a:gd name="T86" fmla="*/ 2147483647 w 2342"/>
                <a:gd name="T87" fmla="*/ 2147483647 h 2198"/>
                <a:gd name="T88" fmla="*/ 2147483647 w 2342"/>
                <a:gd name="T89" fmla="*/ 2147483647 h 2198"/>
                <a:gd name="T90" fmla="*/ 2147483647 w 2342"/>
                <a:gd name="T91" fmla="*/ 2147483647 h 2198"/>
                <a:gd name="T92" fmla="*/ 2147483647 w 2342"/>
                <a:gd name="T93" fmla="*/ 2147483647 h 2198"/>
                <a:gd name="T94" fmla="*/ 2147483647 w 2342"/>
                <a:gd name="T95" fmla="*/ 2147483647 h 2198"/>
                <a:gd name="T96" fmla="*/ 2147483647 w 2342"/>
                <a:gd name="T97" fmla="*/ 2147483647 h 2198"/>
                <a:gd name="T98" fmla="*/ 2147483647 w 2342"/>
                <a:gd name="T99" fmla="*/ 2147483647 h 2198"/>
                <a:gd name="T100" fmla="*/ 2147483647 w 2342"/>
                <a:gd name="T101" fmla="*/ 2147483647 h 2198"/>
                <a:gd name="T102" fmla="*/ 2147483647 w 2342"/>
                <a:gd name="T103" fmla="*/ 2147483647 h 2198"/>
                <a:gd name="T104" fmla="*/ 2147483647 w 2342"/>
                <a:gd name="T105" fmla="*/ 2147483647 h 2198"/>
                <a:gd name="T106" fmla="*/ 2147483647 w 2342"/>
                <a:gd name="T107" fmla="*/ 2147483647 h 2198"/>
                <a:gd name="T108" fmla="*/ 2147483647 w 2342"/>
                <a:gd name="T109" fmla="*/ 2147483647 h 2198"/>
                <a:gd name="T110" fmla="*/ 2147483647 w 2342"/>
                <a:gd name="T111" fmla="*/ 2147483647 h 2198"/>
                <a:gd name="T112" fmla="*/ 2147483647 w 2342"/>
                <a:gd name="T113" fmla="*/ 2147483647 h 2198"/>
                <a:gd name="T114" fmla="*/ 2147483647 w 2342"/>
                <a:gd name="T115" fmla="*/ 2147483647 h 2198"/>
                <a:gd name="T116" fmla="*/ 2147483647 w 2342"/>
                <a:gd name="T117" fmla="*/ 2147483647 h 2198"/>
                <a:gd name="T118" fmla="*/ 2147483647 w 2342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2"/>
                <a:gd name="T181" fmla="*/ 0 h 2198"/>
                <a:gd name="T182" fmla="*/ 2342 w 2342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2" h="2198">
                  <a:moveTo>
                    <a:pt x="1264" y="2198"/>
                  </a:moveTo>
                  <a:lnTo>
                    <a:pt x="1354" y="2130"/>
                  </a:lnTo>
                  <a:lnTo>
                    <a:pt x="1443" y="2061"/>
                  </a:lnTo>
                  <a:lnTo>
                    <a:pt x="1533" y="1993"/>
                  </a:lnTo>
                  <a:lnTo>
                    <a:pt x="1623" y="1924"/>
                  </a:lnTo>
                  <a:lnTo>
                    <a:pt x="1713" y="1856"/>
                  </a:lnTo>
                  <a:lnTo>
                    <a:pt x="1803" y="1788"/>
                  </a:lnTo>
                  <a:lnTo>
                    <a:pt x="1893" y="1719"/>
                  </a:lnTo>
                  <a:lnTo>
                    <a:pt x="1983" y="1651"/>
                  </a:lnTo>
                  <a:lnTo>
                    <a:pt x="2073" y="1583"/>
                  </a:lnTo>
                  <a:lnTo>
                    <a:pt x="2163" y="1514"/>
                  </a:lnTo>
                  <a:lnTo>
                    <a:pt x="2252" y="1446"/>
                  </a:lnTo>
                  <a:lnTo>
                    <a:pt x="2342" y="1378"/>
                  </a:lnTo>
                  <a:lnTo>
                    <a:pt x="2312" y="1338"/>
                  </a:lnTo>
                  <a:lnTo>
                    <a:pt x="2282" y="1300"/>
                  </a:lnTo>
                  <a:lnTo>
                    <a:pt x="2250" y="1261"/>
                  </a:lnTo>
                  <a:lnTo>
                    <a:pt x="2219" y="1223"/>
                  </a:lnTo>
                  <a:lnTo>
                    <a:pt x="2187" y="1185"/>
                  </a:lnTo>
                  <a:lnTo>
                    <a:pt x="2154" y="1148"/>
                  </a:lnTo>
                  <a:lnTo>
                    <a:pt x="2121" y="1111"/>
                  </a:lnTo>
                  <a:lnTo>
                    <a:pt x="2088" y="1075"/>
                  </a:lnTo>
                  <a:lnTo>
                    <a:pt x="2054" y="1038"/>
                  </a:lnTo>
                  <a:lnTo>
                    <a:pt x="2019" y="1003"/>
                  </a:lnTo>
                  <a:lnTo>
                    <a:pt x="1985" y="967"/>
                  </a:lnTo>
                  <a:lnTo>
                    <a:pt x="1949" y="933"/>
                  </a:lnTo>
                  <a:lnTo>
                    <a:pt x="1914" y="898"/>
                  </a:lnTo>
                  <a:lnTo>
                    <a:pt x="1878" y="864"/>
                  </a:lnTo>
                  <a:lnTo>
                    <a:pt x="1841" y="831"/>
                  </a:lnTo>
                  <a:lnTo>
                    <a:pt x="1805" y="797"/>
                  </a:lnTo>
                  <a:lnTo>
                    <a:pt x="1767" y="765"/>
                  </a:lnTo>
                  <a:lnTo>
                    <a:pt x="1730" y="733"/>
                  </a:lnTo>
                  <a:lnTo>
                    <a:pt x="1692" y="701"/>
                  </a:lnTo>
                  <a:lnTo>
                    <a:pt x="1653" y="670"/>
                  </a:lnTo>
                  <a:lnTo>
                    <a:pt x="1614" y="639"/>
                  </a:lnTo>
                  <a:lnTo>
                    <a:pt x="1575" y="609"/>
                  </a:lnTo>
                  <a:lnTo>
                    <a:pt x="1536" y="579"/>
                  </a:lnTo>
                  <a:lnTo>
                    <a:pt x="1496" y="549"/>
                  </a:lnTo>
                  <a:lnTo>
                    <a:pt x="1456" y="521"/>
                  </a:lnTo>
                  <a:lnTo>
                    <a:pt x="1415" y="492"/>
                  </a:lnTo>
                  <a:lnTo>
                    <a:pt x="1374" y="464"/>
                  </a:lnTo>
                  <a:lnTo>
                    <a:pt x="1333" y="437"/>
                  </a:lnTo>
                  <a:lnTo>
                    <a:pt x="1291" y="410"/>
                  </a:lnTo>
                  <a:lnTo>
                    <a:pt x="1249" y="384"/>
                  </a:lnTo>
                  <a:lnTo>
                    <a:pt x="1207" y="358"/>
                  </a:lnTo>
                  <a:lnTo>
                    <a:pt x="1165" y="333"/>
                  </a:lnTo>
                  <a:lnTo>
                    <a:pt x="1122" y="308"/>
                  </a:lnTo>
                  <a:lnTo>
                    <a:pt x="1079" y="283"/>
                  </a:lnTo>
                  <a:lnTo>
                    <a:pt x="1035" y="260"/>
                  </a:lnTo>
                  <a:lnTo>
                    <a:pt x="991" y="236"/>
                  </a:lnTo>
                  <a:lnTo>
                    <a:pt x="947" y="214"/>
                  </a:lnTo>
                  <a:lnTo>
                    <a:pt x="903" y="192"/>
                  </a:lnTo>
                  <a:lnTo>
                    <a:pt x="858" y="170"/>
                  </a:lnTo>
                  <a:lnTo>
                    <a:pt x="813" y="149"/>
                  </a:lnTo>
                  <a:lnTo>
                    <a:pt x="768" y="128"/>
                  </a:lnTo>
                  <a:lnTo>
                    <a:pt x="723" y="108"/>
                  </a:lnTo>
                  <a:lnTo>
                    <a:pt x="678" y="89"/>
                  </a:lnTo>
                  <a:lnTo>
                    <a:pt x="632" y="70"/>
                  </a:lnTo>
                  <a:lnTo>
                    <a:pt x="586" y="52"/>
                  </a:lnTo>
                  <a:lnTo>
                    <a:pt x="540" y="34"/>
                  </a:lnTo>
                  <a:lnTo>
                    <a:pt x="493" y="17"/>
                  </a:lnTo>
                  <a:lnTo>
                    <a:pt x="447" y="0"/>
                  </a:lnTo>
                  <a:lnTo>
                    <a:pt x="409" y="107"/>
                  </a:lnTo>
                  <a:lnTo>
                    <a:pt x="372" y="213"/>
                  </a:lnTo>
                  <a:lnTo>
                    <a:pt x="335" y="320"/>
                  </a:lnTo>
                  <a:lnTo>
                    <a:pt x="298" y="427"/>
                  </a:lnTo>
                  <a:lnTo>
                    <a:pt x="260" y="533"/>
                  </a:lnTo>
                  <a:lnTo>
                    <a:pt x="223" y="640"/>
                  </a:lnTo>
                  <a:lnTo>
                    <a:pt x="186" y="747"/>
                  </a:lnTo>
                  <a:lnTo>
                    <a:pt x="149" y="853"/>
                  </a:lnTo>
                  <a:lnTo>
                    <a:pt x="111" y="960"/>
                  </a:lnTo>
                  <a:lnTo>
                    <a:pt x="74" y="1066"/>
                  </a:lnTo>
                  <a:lnTo>
                    <a:pt x="37" y="1173"/>
                  </a:lnTo>
                  <a:lnTo>
                    <a:pt x="0" y="1280"/>
                  </a:lnTo>
                  <a:lnTo>
                    <a:pt x="31" y="1291"/>
                  </a:lnTo>
                  <a:lnTo>
                    <a:pt x="62" y="1302"/>
                  </a:lnTo>
                  <a:lnTo>
                    <a:pt x="93" y="1314"/>
                  </a:lnTo>
                  <a:lnTo>
                    <a:pt x="123" y="1326"/>
                  </a:lnTo>
                  <a:lnTo>
                    <a:pt x="154" y="1339"/>
                  </a:lnTo>
                  <a:lnTo>
                    <a:pt x="184" y="1352"/>
                  </a:lnTo>
                  <a:lnTo>
                    <a:pt x="214" y="1365"/>
                  </a:lnTo>
                  <a:lnTo>
                    <a:pt x="244" y="1379"/>
                  </a:lnTo>
                  <a:lnTo>
                    <a:pt x="274" y="1393"/>
                  </a:lnTo>
                  <a:lnTo>
                    <a:pt x="304" y="1407"/>
                  </a:lnTo>
                  <a:lnTo>
                    <a:pt x="334" y="1422"/>
                  </a:lnTo>
                  <a:lnTo>
                    <a:pt x="363" y="1437"/>
                  </a:lnTo>
                  <a:lnTo>
                    <a:pt x="392" y="1453"/>
                  </a:lnTo>
                  <a:lnTo>
                    <a:pt x="421" y="1468"/>
                  </a:lnTo>
                  <a:lnTo>
                    <a:pt x="450" y="1485"/>
                  </a:lnTo>
                  <a:lnTo>
                    <a:pt x="478" y="1501"/>
                  </a:lnTo>
                  <a:lnTo>
                    <a:pt x="507" y="1518"/>
                  </a:lnTo>
                  <a:lnTo>
                    <a:pt x="535" y="1535"/>
                  </a:lnTo>
                  <a:lnTo>
                    <a:pt x="563" y="1553"/>
                  </a:lnTo>
                  <a:lnTo>
                    <a:pt x="591" y="1571"/>
                  </a:lnTo>
                  <a:lnTo>
                    <a:pt x="618" y="1589"/>
                  </a:lnTo>
                  <a:lnTo>
                    <a:pt x="645" y="1608"/>
                  </a:lnTo>
                  <a:lnTo>
                    <a:pt x="672" y="1626"/>
                  </a:lnTo>
                  <a:lnTo>
                    <a:pt x="699" y="1646"/>
                  </a:lnTo>
                  <a:lnTo>
                    <a:pt x="726" y="1665"/>
                  </a:lnTo>
                  <a:lnTo>
                    <a:pt x="752" y="1685"/>
                  </a:lnTo>
                  <a:lnTo>
                    <a:pt x="778" y="1705"/>
                  </a:lnTo>
                  <a:lnTo>
                    <a:pt x="804" y="1726"/>
                  </a:lnTo>
                  <a:lnTo>
                    <a:pt x="830" y="1747"/>
                  </a:lnTo>
                  <a:lnTo>
                    <a:pt x="855" y="1768"/>
                  </a:lnTo>
                  <a:lnTo>
                    <a:pt x="880" y="1789"/>
                  </a:lnTo>
                  <a:lnTo>
                    <a:pt x="905" y="1811"/>
                  </a:lnTo>
                  <a:lnTo>
                    <a:pt x="930" y="1833"/>
                  </a:lnTo>
                  <a:lnTo>
                    <a:pt x="954" y="1856"/>
                  </a:lnTo>
                  <a:lnTo>
                    <a:pt x="978" y="1878"/>
                  </a:lnTo>
                  <a:lnTo>
                    <a:pt x="1002" y="1901"/>
                  </a:lnTo>
                  <a:lnTo>
                    <a:pt x="1025" y="1924"/>
                  </a:lnTo>
                  <a:lnTo>
                    <a:pt x="1048" y="1948"/>
                  </a:lnTo>
                  <a:lnTo>
                    <a:pt x="1071" y="1972"/>
                  </a:lnTo>
                  <a:lnTo>
                    <a:pt x="1094" y="1996"/>
                  </a:lnTo>
                  <a:lnTo>
                    <a:pt x="1116" y="2020"/>
                  </a:lnTo>
                  <a:lnTo>
                    <a:pt x="1138" y="2045"/>
                  </a:lnTo>
                  <a:lnTo>
                    <a:pt x="1160" y="2070"/>
                  </a:lnTo>
                  <a:lnTo>
                    <a:pt x="1181" y="2095"/>
                  </a:lnTo>
                  <a:lnTo>
                    <a:pt x="1202" y="2120"/>
                  </a:lnTo>
                  <a:lnTo>
                    <a:pt x="1223" y="2146"/>
                  </a:lnTo>
                  <a:lnTo>
                    <a:pt x="1244" y="2172"/>
                  </a:lnTo>
                  <a:lnTo>
                    <a:pt x="1264" y="2198"/>
                  </a:lnTo>
                </a:path>
              </a:pathLst>
            </a:custGeom>
            <a:solidFill>
              <a:srgbClr val="FFFF57"/>
            </a:solidFill>
            <a:ln w="25400">
              <a:solidFill>
                <a:srgbClr val="262626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9" name="Dial Panel #3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>
              <a:spLocks/>
            </xdr:cNvSpPr>
          </xdr:nvSpPr>
          <xdr:spPr bwMode="auto">
            <a:xfrm>
              <a:off x="1495146" y="1155645"/>
              <a:ext cx="1054728" cy="663196"/>
            </a:xfrm>
            <a:custGeom>
              <a:avLst/>
              <a:gdLst>
                <a:gd name="T0" fmla="*/ 2147483647 w 2344"/>
                <a:gd name="T1" fmla="*/ 2147483647 h 1470"/>
                <a:gd name="T2" fmla="*/ 2147483647 w 2344"/>
                <a:gd name="T3" fmla="*/ 2147483647 h 1470"/>
                <a:gd name="T4" fmla="*/ 2147483647 w 2344"/>
                <a:gd name="T5" fmla="*/ 2147483647 h 1470"/>
                <a:gd name="T6" fmla="*/ 2147483647 w 2344"/>
                <a:gd name="T7" fmla="*/ 2147483647 h 1470"/>
                <a:gd name="T8" fmla="*/ 2147483647 w 2344"/>
                <a:gd name="T9" fmla="*/ 2147483647 h 1470"/>
                <a:gd name="T10" fmla="*/ 2147483647 w 2344"/>
                <a:gd name="T11" fmla="*/ 2147483647 h 1470"/>
                <a:gd name="T12" fmla="*/ 2147483647 w 2344"/>
                <a:gd name="T13" fmla="*/ 2147483647 h 1470"/>
                <a:gd name="T14" fmla="*/ 2147483647 w 2344"/>
                <a:gd name="T15" fmla="*/ 2147483647 h 1470"/>
                <a:gd name="T16" fmla="*/ 2147483647 w 2344"/>
                <a:gd name="T17" fmla="*/ 2147483647 h 1470"/>
                <a:gd name="T18" fmla="*/ 2147483647 w 2344"/>
                <a:gd name="T19" fmla="*/ 2147483647 h 1470"/>
                <a:gd name="T20" fmla="*/ 2147483647 w 2344"/>
                <a:gd name="T21" fmla="*/ 2147483647 h 1470"/>
                <a:gd name="T22" fmla="*/ 2147483647 w 2344"/>
                <a:gd name="T23" fmla="*/ 2147483647 h 1470"/>
                <a:gd name="T24" fmla="*/ 2147483647 w 2344"/>
                <a:gd name="T25" fmla="*/ 2147483647 h 1470"/>
                <a:gd name="T26" fmla="*/ 2147483647 w 2344"/>
                <a:gd name="T27" fmla="*/ 2147483647 h 1470"/>
                <a:gd name="T28" fmla="*/ 2147483647 w 2344"/>
                <a:gd name="T29" fmla="*/ 2147483647 h 1470"/>
                <a:gd name="T30" fmla="*/ 2147483647 w 2344"/>
                <a:gd name="T31" fmla="*/ 2147483647 h 1470"/>
                <a:gd name="T32" fmla="*/ 2147483647 w 2344"/>
                <a:gd name="T33" fmla="*/ 2147483647 h 1470"/>
                <a:gd name="T34" fmla="*/ 2147483647 w 2344"/>
                <a:gd name="T35" fmla="*/ 0 h 1470"/>
                <a:gd name="T36" fmla="*/ 2147483647 w 2344"/>
                <a:gd name="T37" fmla="*/ 0 h 1470"/>
                <a:gd name="T38" fmla="*/ 2147483647 w 2344"/>
                <a:gd name="T39" fmla="*/ 2147483647 h 1470"/>
                <a:gd name="T40" fmla="*/ 2147483647 w 2344"/>
                <a:gd name="T41" fmla="*/ 2147483647 h 1470"/>
                <a:gd name="T42" fmla="*/ 2147483647 w 2344"/>
                <a:gd name="T43" fmla="*/ 2147483647 h 1470"/>
                <a:gd name="T44" fmla="*/ 2147483647 w 2344"/>
                <a:gd name="T45" fmla="*/ 2147483647 h 1470"/>
                <a:gd name="T46" fmla="*/ 2147483647 w 2344"/>
                <a:gd name="T47" fmla="*/ 2147483647 h 1470"/>
                <a:gd name="T48" fmla="*/ 2147483647 w 2344"/>
                <a:gd name="T49" fmla="*/ 2147483647 h 1470"/>
                <a:gd name="T50" fmla="*/ 2147483647 w 2344"/>
                <a:gd name="T51" fmla="*/ 2147483647 h 1470"/>
                <a:gd name="T52" fmla="*/ 2147483647 w 2344"/>
                <a:gd name="T53" fmla="*/ 2147483647 h 1470"/>
                <a:gd name="T54" fmla="*/ 2147483647 w 2344"/>
                <a:gd name="T55" fmla="*/ 2147483647 h 1470"/>
                <a:gd name="T56" fmla="*/ 2147483647 w 2344"/>
                <a:gd name="T57" fmla="*/ 2147483647 h 1470"/>
                <a:gd name="T58" fmla="*/ 2147483647 w 2344"/>
                <a:gd name="T59" fmla="*/ 2147483647 h 1470"/>
                <a:gd name="T60" fmla="*/ 2147483647 w 2344"/>
                <a:gd name="T61" fmla="*/ 2147483647 h 1470"/>
                <a:gd name="T62" fmla="*/ 2147483647 w 2344"/>
                <a:gd name="T63" fmla="*/ 2147483647 h 1470"/>
                <a:gd name="T64" fmla="*/ 2147483647 w 2344"/>
                <a:gd name="T65" fmla="*/ 2147483647 h 1470"/>
                <a:gd name="T66" fmla="*/ 2147483647 w 2344"/>
                <a:gd name="T67" fmla="*/ 2147483647 h 1470"/>
                <a:gd name="T68" fmla="*/ 2147483647 w 2344"/>
                <a:gd name="T69" fmla="*/ 2147483647 h 1470"/>
                <a:gd name="T70" fmla="*/ 2147483647 w 2344"/>
                <a:gd name="T71" fmla="*/ 2147483647 h 1470"/>
                <a:gd name="T72" fmla="*/ 2147483647 w 2344"/>
                <a:gd name="T73" fmla="*/ 2147483647 h 1470"/>
                <a:gd name="T74" fmla="*/ 2147483647 w 2344"/>
                <a:gd name="T75" fmla="*/ 2147483647 h 1470"/>
                <a:gd name="T76" fmla="*/ 2147483647 w 2344"/>
                <a:gd name="T77" fmla="*/ 2147483647 h 1470"/>
                <a:gd name="T78" fmla="*/ 2147483647 w 2344"/>
                <a:gd name="T79" fmla="*/ 2147483647 h 1470"/>
                <a:gd name="T80" fmla="*/ 2147483647 w 2344"/>
                <a:gd name="T81" fmla="*/ 2147483647 h 1470"/>
                <a:gd name="T82" fmla="*/ 2147483647 w 2344"/>
                <a:gd name="T83" fmla="*/ 2147483647 h 1470"/>
                <a:gd name="T84" fmla="*/ 2147483647 w 2344"/>
                <a:gd name="T85" fmla="*/ 2147483647 h 1470"/>
                <a:gd name="T86" fmla="*/ 2147483647 w 2344"/>
                <a:gd name="T87" fmla="*/ 2147483647 h 1470"/>
                <a:gd name="T88" fmla="*/ 2147483647 w 2344"/>
                <a:gd name="T89" fmla="*/ 2147483647 h 1470"/>
                <a:gd name="T90" fmla="*/ 2147483647 w 2344"/>
                <a:gd name="T91" fmla="*/ 2147483647 h 1470"/>
                <a:gd name="T92" fmla="*/ 2147483647 w 2344"/>
                <a:gd name="T93" fmla="*/ 2147483647 h 1470"/>
                <a:gd name="T94" fmla="*/ 2147483647 w 2344"/>
                <a:gd name="T95" fmla="*/ 2147483647 h 1470"/>
                <a:gd name="T96" fmla="*/ 2147483647 w 2344"/>
                <a:gd name="T97" fmla="*/ 2147483647 h 1470"/>
                <a:gd name="T98" fmla="*/ 2147483647 w 2344"/>
                <a:gd name="T99" fmla="*/ 2147483647 h 1470"/>
                <a:gd name="T100" fmla="*/ 2147483647 w 2344"/>
                <a:gd name="T101" fmla="*/ 2147483647 h 1470"/>
                <a:gd name="T102" fmla="*/ 2147483647 w 2344"/>
                <a:gd name="T103" fmla="*/ 2147483647 h 1470"/>
                <a:gd name="T104" fmla="*/ 2147483647 w 2344"/>
                <a:gd name="T105" fmla="*/ 2147483647 h 1470"/>
                <a:gd name="T106" fmla="*/ 2147483647 w 2344"/>
                <a:gd name="T107" fmla="*/ 2147483647 h 1470"/>
                <a:gd name="T108" fmla="*/ 2147483647 w 2344"/>
                <a:gd name="T109" fmla="*/ 2147483647 h 1470"/>
                <a:gd name="T110" fmla="*/ 2147483647 w 2344"/>
                <a:gd name="T111" fmla="*/ 2147483647 h 1470"/>
                <a:gd name="T112" fmla="*/ 2147483647 w 2344"/>
                <a:gd name="T113" fmla="*/ 2147483647 h 1470"/>
                <a:gd name="T114" fmla="*/ 2147483647 w 2344"/>
                <a:gd name="T115" fmla="*/ 2147483647 h 1470"/>
                <a:gd name="T116" fmla="*/ 2147483647 w 2344"/>
                <a:gd name="T117" fmla="*/ 2147483647 h 1470"/>
                <a:gd name="T118" fmla="*/ 2147483647 w 2344"/>
                <a:gd name="T119" fmla="*/ 2147483647 h 1470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4"/>
                <a:gd name="T181" fmla="*/ 0 h 1470"/>
                <a:gd name="T182" fmla="*/ 2344 w 2344"/>
                <a:gd name="T183" fmla="*/ 1470 h 1470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4" h="1470">
                  <a:moveTo>
                    <a:pt x="1953" y="1470"/>
                  </a:moveTo>
                  <a:lnTo>
                    <a:pt x="1986" y="1362"/>
                  </a:lnTo>
                  <a:lnTo>
                    <a:pt x="2018" y="1254"/>
                  </a:lnTo>
                  <a:lnTo>
                    <a:pt x="2051" y="1146"/>
                  </a:lnTo>
                  <a:lnTo>
                    <a:pt x="2083" y="1038"/>
                  </a:lnTo>
                  <a:lnTo>
                    <a:pt x="2116" y="929"/>
                  </a:lnTo>
                  <a:lnTo>
                    <a:pt x="2149" y="821"/>
                  </a:lnTo>
                  <a:lnTo>
                    <a:pt x="2181" y="713"/>
                  </a:lnTo>
                  <a:lnTo>
                    <a:pt x="2214" y="605"/>
                  </a:lnTo>
                  <a:lnTo>
                    <a:pt x="2246" y="497"/>
                  </a:lnTo>
                  <a:lnTo>
                    <a:pt x="2279" y="389"/>
                  </a:lnTo>
                  <a:lnTo>
                    <a:pt x="2311" y="281"/>
                  </a:lnTo>
                  <a:lnTo>
                    <a:pt x="2344" y="172"/>
                  </a:lnTo>
                  <a:lnTo>
                    <a:pt x="2296" y="158"/>
                  </a:lnTo>
                  <a:lnTo>
                    <a:pt x="2249" y="145"/>
                  </a:lnTo>
                  <a:lnTo>
                    <a:pt x="2201" y="132"/>
                  </a:lnTo>
                  <a:lnTo>
                    <a:pt x="2153" y="120"/>
                  </a:lnTo>
                  <a:lnTo>
                    <a:pt x="2105" y="108"/>
                  </a:lnTo>
                  <a:lnTo>
                    <a:pt x="2057" y="97"/>
                  </a:lnTo>
                  <a:lnTo>
                    <a:pt x="2008" y="87"/>
                  </a:lnTo>
                  <a:lnTo>
                    <a:pt x="1960" y="77"/>
                  </a:lnTo>
                  <a:lnTo>
                    <a:pt x="1911" y="68"/>
                  </a:lnTo>
                  <a:lnTo>
                    <a:pt x="1862" y="59"/>
                  </a:lnTo>
                  <a:lnTo>
                    <a:pt x="1813" y="51"/>
                  </a:lnTo>
                  <a:lnTo>
                    <a:pt x="1764" y="43"/>
                  </a:lnTo>
                  <a:lnTo>
                    <a:pt x="1715" y="36"/>
                  </a:lnTo>
                  <a:lnTo>
                    <a:pt x="1666" y="30"/>
                  </a:lnTo>
                  <a:lnTo>
                    <a:pt x="1617" y="24"/>
                  </a:lnTo>
                  <a:lnTo>
                    <a:pt x="1568" y="19"/>
                  </a:lnTo>
                  <a:lnTo>
                    <a:pt x="1518" y="15"/>
                  </a:lnTo>
                  <a:lnTo>
                    <a:pt x="1469" y="11"/>
                  </a:lnTo>
                  <a:lnTo>
                    <a:pt x="1420" y="7"/>
                  </a:lnTo>
                  <a:lnTo>
                    <a:pt x="1370" y="5"/>
                  </a:lnTo>
                  <a:lnTo>
                    <a:pt x="1321" y="3"/>
                  </a:lnTo>
                  <a:lnTo>
                    <a:pt x="1271" y="1"/>
                  </a:lnTo>
                  <a:lnTo>
                    <a:pt x="1222" y="0"/>
                  </a:lnTo>
                  <a:lnTo>
                    <a:pt x="1172" y="0"/>
                  </a:lnTo>
                  <a:lnTo>
                    <a:pt x="1123" y="0"/>
                  </a:lnTo>
                  <a:lnTo>
                    <a:pt x="1073" y="1"/>
                  </a:lnTo>
                  <a:lnTo>
                    <a:pt x="1024" y="3"/>
                  </a:lnTo>
                  <a:lnTo>
                    <a:pt x="974" y="5"/>
                  </a:lnTo>
                  <a:lnTo>
                    <a:pt x="925" y="7"/>
                  </a:lnTo>
                  <a:lnTo>
                    <a:pt x="875" y="11"/>
                  </a:lnTo>
                  <a:lnTo>
                    <a:pt x="826" y="15"/>
                  </a:lnTo>
                  <a:lnTo>
                    <a:pt x="777" y="19"/>
                  </a:lnTo>
                  <a:lnTo>
                    <a:pt x="727" y="24"/>
                  </a:lnTo>
                  <a:lnTo>
                    <a:pt x="678" y="30"/>
                  </a:lnTo>
                  <a:lnTo>
                    <a:pt x="629" y="36"/>
                  </a:lnTo>
                  <a:lnTo>
                    <a:pt x="580" y="43"/>
                  </a:lnTo>
                  <a:lnTo>
                    <a:pt x="531" y="51"/>
                  </a:lnTo>
                  <a:lnTo>
                    <a:pt x="482" y="59"/>
                  </a:lnTo>
                  <a:lnTo>
                    <a:pt x="433" y="68"/>
                  </a:lnTo>
                  <a:lnTo>
                    <a:pt x="385" y="77"/>
                  </a:lnTo>
                  <a:lnTo>
                    <a:pt x="336" y="87"/>
                  </a:lnTo>
                  <a:lnTo>
                    <a:pt x="288" y="97"/>
                  </a:lnTo>
                  <a:lnTo>
                    <a:pt x="239" y="108"/>
                  </a:lnTo>
                  <a:lnTo>
                    <a:pt x="191" y="120"/>
                  </a:lnTo>
                  <a:lnTo>
                    <a:pt x="143" y="132"/>
                  </a:lnTo>
                  <a:lnTo>
                    <a:pt x="96" y="145"/>
                  </a:lnTo>
                  <a:lnTo>
                    <a:pt x="48" y="158"/>
                  </a:lnTo>
                  <a:lnTo>
                    <a:pt x="0" y="172"/>
                  </a:lnTo>
                  <a:lnTo>
                    <a:pt x="33" y="281"/>
                  </a:lnTo>
                  <a:lnTo>
                    <a:pt x="66" y="389"/>
                  </a:lnTo>
                  <a:lnTo>
                    <a:pt x="98" y="497"/>
                  </a:lnTo>
                  <a:lnTo>
                    <a:pt x="131" y="605"/>
                  </a:lnTo>
                  <a:lnTo>
                    <a:pt x="163" y="713"/>
                  </a:lnTo>
                  <a:lnTo>
                    <a:pt x="196" y="821"/>
                  </a:lnTo>
                  <a:lnTo>
                    <a:pt x="228" y="929"/>
                  </a:lnTo>
                  <a:lnTo>
                    <a:pt x="261" y="1038"/>
                  </a:lnTo>
                  <a:lnTo>
                    <a:pt x="293" y="1146"/>
                  </a:lnTo>
                  <a:lnTo>
                    <a:pt x="326" y="1254"/>
                  </a:lnTo>
                  <a:lnTo>
                    <a:pt x="358" y="1362"/>
                  </a:lnTo>
                  <a:lnTo>
                    <a:pt x="391" y="1470"/>
                  </a:lnTo>
                  <a:lnTo>
                    <a:pt x="423" y="1461"/>
                  </a:lnTo>
                  <a:lnTo>
                    <a:pt x="454" y="1452"/>
                  </a:lnTo>
                  <a:lnTo>
                    <a:pt x="486" y="1443"/>
                  </a:lnTo>
                  <a:lnTo>
                    <a:pt x="518" y="1435"/>
                  </a:lnTo>
                  <a:lnTo>
                    <a:pt x="550" y="1427"/>
                  </a:lnTo>
                  <a:lnTo>
                    <a:pt x="583" y="1420"/>
                  </a:lnTo>
                  <a:lnTo>
                    <a:pt x="615" y="1413"/>
                  </a:lnTo>
                  <a:lnTo>
                    <a:pt x="647" y="1406"/>
                  </a:lnTo>
                  <a:lnTo>
                    <a:pt x="680" y="1400"/>
                  </a:lnTo>
                  <a:lnTo>
                    <a:pt x="712" y="1394"/>
                  </a:lnTo>
                  <a:lnTo>
                    <a:pt x="745" y="1389"/>
                  </a:lnTo>
                  <a:lnTo>
                    <a:pt x="777" y="1384"/>
                  </a:lnTo>
                  <a:lnTo>
                    <a:pt x="810" y="1379"/>
                  </a:lnTo>
                  <a:lnTo>
                    <a:pt x="843" y="1375"/>
                  </a:lnTo>
                  <a:lnTo>
                    <a:pt x="876" y="1371"/>
                  </a:lnTo>
                  <a:lnTo>
                    <a:pt x="909" y="1368"/>
                  </a:lnTo>
                  <a:lnTo>
                    <a:pt x="941" y="1365"/>
                  </a:lnTo>
                  <a:lnTo>
                    <a:pt x="974" y="1362"/>
                  </a:lnTo>
                  <a:lnTo>
                    <a:pt x="1007" y="1360"/>
                  </a:lnTo>
                  <a:lnTo>
                    <a:pt x="1040" y="1358"/>
                  </a:lnTo>
                  <a:lnTo>
                    <a:pt x="1073" y="1357"/>
                  </a:lnTo>
                  <a:lnTo>
                    <a:pt x="1106" y="1356"/>
                  </a:lnTo>
                  <a:lnTo>
                    <a:pt x="1139" y="1355"/>
                  </a:lnTo>
                  <a:lnTo>
                    <a:pt x="1172" y="1355"/>
                  </a:lnTo>
                  <a:lnTo>
                    <a:pt x="1205" y="1355"/>
                  </a:lnTo>
                  <a:lnTo>
                    <a:pt x="1238" y="1356"/>
                  </a:lnTo>
                  <a:lnTo>
                    <a:pt x="1271" y="1357"/>
                  </a:lnTo>
                  <a:lnTo>
                    <a:pt x="1304" y="1358"/>
                  </a:lnTo>
                  <a:lnTo>
                    <a:pt x="1337" y="1360"/>
                  </a:lnTo>
                  <a:lnTo>
                    <a:pt x="1370" y="1362"/>
                  </a:lnTo>
                  <a:lnTo>
                    <a:pt x="1403" y="1365"/>
                  </a:lnTo>
                  <a:lnTo>
                    <a:pt x="1436" y="1368"/>
                  </a:lnTo>
                  <a:lnTo>
                    <a:pt x="1469" y="1371"/>
                  </a:lnTo>
                  <a:lnTo>
                    <a:pt x="1501" y="1375"/>
                  </a:lnTo>
                  <a:lnTo>
                    <a:pt x="1534" y="1379"/>
                  </a:lnTo>
                  <a:lnTo>
                    <a:pt x="1567" y="1384"/>
                  </a:lnTo>
                  <a:lnTo>
                    <a:pt x="1600" y="1389"/>
                  </a:lnTo>
                  <a:lnTo>
                    <a:pt x="1632" y="1394"/>
                  </a:lnTo>
                  <a:lnTo>
                    <a:pt x="1665" y="1400"/>
                  </a:lnTo>
                  <a:lnTo>
                    <a:pt x="1697" y="1406"/>
                  </a:lnTo>
                  <a:lnTo>
                    <a:pt x="1730" y="1413"/>
                  </a:lnTo>
                  <a:lnTo>
                    <a:pt x="1762" y="1420"/>
                  </a:lnTo>
                  <a:lnTo>
                    <a:pt x="1794" y="1427"/>
                  </a:lnTo>
                  <a:lnTo>
                    <a:pt x="1826" y="1435"/>
                  </a:lnTo>
                  <a:lnTo>
                    <a:pt x="1858" y="1443"/>
                  </a:lnTo>
                  <a:lnTo>
                    <a:pt x="1890" y="1452"/>
                  </a:lnTo>
                  <a:lnTo>
                    <a:pt x="1922" y="1461"/>
                  </a:lnTo>
                  <a:lnTo>
                    <a:pt x="1953" y="1470"/>
                  </a:lnTo>
                </a:path>
              </a:pathLst>
            </a:custGeom>
            <a:solidFill>
              <a:srgbClr val="FAC090"/>
            </a:solidFill>
            <a:ln w="25400">
              <a:solidFill>
                <a:srgbClr val="262626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0" name="Dial Panel #2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SpPr>
              <a:spLocks/>
            </xdr:cNvSpPr>
          </xdr:nvSpPr>
          <xdr:spPr bwMode="auto">
            <a:xfrm>
              <a:off x="565940" y="1258057"/>
              <a:ext cx="1054698" cy="991636"/>
            </a:xfrm>
            <a:custGeom>
              <a:avLst/>
              <a:gdLst>
                <a:gd name="T0" fmla="*/ 2147483647 w 2343"/>
                <a:gd name="T1" fmla="*/ 2147483647 h 2198"/>
                <a:gd name="T2" fmla="*/ 2147483647 w 2343"/>
                <a:gd name="T3" fmla="*/ 2147483647 h 2198"/>
                <a:gd name="T4" fmla="*/ 2147483647 w 2343"/>
                <a:gd name="T5" fmla="*/ 2147483647 h 2198"/>
                <a:gd name="T6" fmla="*/ 2147483647 w 2343"/>
                <a:gd name="T7" fmla="*/ 2147483647 h 2198"/>
                <a:gd name="T8" fmla="*/ 2147483647 w 2343"/>
                <a:gd name="T9" fmla="*/ 2147483647 h 2198"/>
                <a:gd name="T10" fmla="*/ 2147483647 w 2343"/>
                <a:gd name="T11" fmla="*/ 2147483647 h 2198"/>
                <a:gd name="T12" fmla="*/ 2147483647 w 2343"/>
                <a:gd name="T13" fmla="*/ 2147483647 h 2198"/>
                <a:gd name="T14" fmla="*/ 2147483647 w 2343"/>
                <a:gd name="T15" fmla="*/ 2147483647 h 2198"/>
                <a:gd name="T16" fmla="*/ 2147483647 w 2343"/>
                <a:gd name="T17" fmla="*/ 2147483647 h 2198"/>
                <a:gd name="T18" fmla="*/ 2147483647 w 2343"/>
                <a:gd name="T19" fmla="*/ 2147483647 h 2198"/>
                <a:gd name="T20" fmla="*/ 2147483647 w 2343"/>
                <a:gd name="T21" fmla="*/ 2147483647 h 2198"/>
                <a:gd name="T22" fmla="*/ 2147483647 w 2343"/>
                <a:gd name="T23" fmla="*/ 2147483647 h 2198"/>
                <a:gd name="T24" fmla="*/ 2147483647 w 2343"/>
                <a:gd name="T25" fmla="*/ 2147483647 h 2198"/>
                <a:gd name="T26" fmla="*/ 2147483647 w 2343"/>
                <a:gd name="T27" fmla="*/ 2147483647 h 2198"/>
                <a:gd name="T28" fmla="*/ 2147483647 w 2343"/>
                <a:gd name="T29" fmla="*/ 2147483647 h 2198"/>
                <a:gd name="T30" fmla="*/ 2147483647 w 2343"/>
                <a:gd name="T31" fmla="*/ 2147483647 h 2198"/>
                <a:gd name="T32" fmla="*/ 2147483647 w 2343"/>
                <a:gd name="T33" fmla="*/ 2147483647 h 2198"/>
                <a:gd name="T34" fmla="*/ 2147483647 w 2343"/>
                <a:gd name="T35" fmla="*/ 2147483647 h 2198"/>
                <a:gd name="T36" fmla="*/ 2147483647 w 2343"/>
                <a:gd name="T37" fmla="*/ 2147483647 h 2198"/>
                <a:gd name="T38" fmla="*/ 2147483647 w 2343"/>
                <a:gd name="T39" fmla="*/ 2147483647 h 2198"/>
                <a:gd name="T40" fmla="*/ 2147483647 w 2343"/>
                <a:gd name="T41" fmla="*/ 2147483647 h 2198"/>
                <a:gd name="T42" fmla="*/ 2147483647 w 2343"/>
                <a:gd name="T43" fmla="*/ 2147483647 h 2198"/>
                <a:gd name="T44" fmla="*/ 2147483647 w 2343"/>
                <a:gd name="T45" fmla="*/ 2147483647 h 2198"/>
                <a:gd name="T46" fmla="*/ 2147483647 w 2343"/>
                <a:gd name="T47" fmla="*/ 2147483647 h 2198"/>
                <a:gd name="T48" fmla="*/ 2147483647 w 2343"/>
                <a:gd name="T49" fmla="*/ 2147483647 h 2198"/>
                <a:gd name="T50" fmla="*/ 2147483647 w 2343"/>
                <a:gd name="T51" fmla="*/ 2147483647 h 2198"/>
                <a:gd name="T52" fmla="*/ 2147483647 w 2343"/>
                <a:gd name="T53" fmla="*/ 2147483647 h 2198"/>
                <a:gd name="T54" fmla="*/ 2147483647 w 2343"/>
                <a:gd name="T55" fmla="*/ 2147483647 h 2198"/>
                <a:gd name="T56" fmla="*/ 2147483647 w 2343"/>
                <a:gd name="T57" fmla="*/ 2147483647 h 2198"/>
                <a:gd name="T58" fmla="*/ 2147483647 w 2343"/>
                <a:gd name="T59" fmla="*/ 2147483647 h 2198"/>
                <a:gd name="T60" fmla="*/ 2147483647 w 2343"/>
                <a:gd name="T61" fmla="*/ 2147483647 h 2198"/>
                <a:gd name="T62" fmla="*/ 2147483647 w 2343"/>
                <a:gd name="T63" fmla="*/ 2147483647 h 2198"/>
                <a:gd name="T64" fmla="*/ 2147483647 w 2343"/>
                <a:gd name="T65" fmla="*/ 2147483647 h 2198"/>
                <a:gd name="T66" fmla="*/ 2147483647 w 2343"/>
                <a:gd name="T67" fmla="*/ 2147483647 h 2198"/>
                <a:gd name="T68" fmla="*/ 2147483647 w 2343"/>
                <a:gd name="T69" fmla="*/ 2147483647 h 2198"/>
                <a:gd name="T70" fmla="*/ 2147483647 w 2343"/>
                <a:gd name="T71" fmla="*/ 2147483647 h 2198"/>
                <a:gd name="T72" fmla="*/ 2147483647 w 2343"/>
                <a:gd name="T73" fmla="*/ 2147483647 h 2198"/>
                <a:gd name="T74" fmla="*/ 2147483647 w 2343"/>
                <a:gd name="T75" fmla="*/ 2147483647 h 2198"/>
                <a:gd name="T76" fmla="*/ 2147483647 w 2343"/>
                <a:gd name="T77" fmla="*/ 2147483647 h 2198"/>
                <a:gd name="T78" fmla="*/ 2147483647 w 2343"/>
                <a:gd name="T79" fmla="*/ 2147483647 h 2198"/>
                <a:gd name="T80" fmla="*/ 2147483647 w 2343"/>
                <a:gd name="T81" fmla="*/ 2147483647 h 2198"/>
                <a:gd name="T82" fmla="*/ 2147483647 w 2343"/>
                <a:gd name="T83" fmla="*/ 2147483647 h 2198"/>
                <a:gd name="T84" fmla="*/ 2147483647 w 2343"/>
                <a:gd name="T85" fmla="*/ 2147483647 h 2198"/>
                <a:gd name="T86" fmla="*/ 2147483647 w 2343"/>
                <a:gd name="T87" fmla="*/ 2147483647 h 2198"/>
                <a:gd name="T88" fmla="*/ 2147483647 w 2343"/>
                <a:gd name="T89" fmla="*/ 2147483647 h 2198"/>
                <a:gd name="T90" fmla="*/ 2147483647 w 2343"/>
                <a:gd name="T91" fmla="*/ 2147483647 h 2198"/>
                <a:gd name="T92" fmla="*/ 2147483647 w 2343"/>
                <a:gd name="T93" fmla="*/ 2147483647 h 2198"/>
                <a:gd name="T94" fmla="*/ 2147483647 w 2343"/>
                <a:gd name="T95" fmla="*/ 2147483647 h 2198"/>
                <a:gd name="T96" fmla="*/ 2147483647 w 2343"/>
                <a:gd name="T97" fmla="*/ 2147483647 h 2198"/>
                <a:gd name="T98" fmla="*/ 2147483647 w 2343"/>
                <a:gd name="T99" fmla="*/ 2147483647 h 2198"/>
                <a:gd name="T100" fmla="*/ 2147483647 w 2343"/>
                <a:gd name="T101" fmla="*/ 2147483647 h 2198"/>
                <a:gd name="T102" fmla="*/ 2147483647 w 2343"/>
                <a:gd name="T103" fmla="*/ 2147483647 h 2198"/>
                <a:gd name="T104" fmla="*/ 2147483647 w 2343"/>
                <a:gd name="T105" fmla="*/ 2147483647 h 2198"/>
                <a:gd name="T106" fmla="*/ 2147483647 w 2343"/>
                <a:gd name="T107" fmla="*/ 2147483647 h 2198"/>
                <a:gd name="T108" fmla="*/ 2147483647 w 2343"/>
                <a:gd name="T109" fmla="*/ 2147483647 h 2198"/>
                <a:gd name="T110" fmla="*/ 2147483647 w 2343"/>
                <a:gd name="T111" fmla="*/ 2147483647 h 2198"/>
                <a:gd name="T112" fmla="*/ 2147483647 w 2343"/>
                <a:gd name="T113" fmla="*/ 2147483647 h 2198"/>
                <a:gd name="T114" fmla="*/ 2147483647 w 2343"/>
                <a:gd name="T115" fmla="*/ 2147483647 h 2198"/>
                <a:gd name="T116" fmla="*/ 2147483647 w 2343"/>
                <a:gd name="T117" fmla="*/ 2147483647 h 2198"/>
                <a:gd name="T118" fmla="*/ 2147483647 w 2343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3"/>
                <a:gd name="T181" fmla="*/ 0 h 2198"/>
                <a:gd name="T182" fmla="*/ 2343 w 2343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3" h="2198">
                  <a:moveTo>
                    <a:pt x="2343" y="1280"/>
                  </a:moveTo>
                  <a:lnTo>
                    <a:pt x="2305" y="1173"/>
                  </a:lnTo>
                  <a:lnTo>
                    <a:pt x="2268" y="1066"/>
                  </a:lnTo>
                  <a:lnTo>
                    <a:pt x="2231" y="960"/>
                  </a:lnTo>
                  <a:lnTo>
                    <a:pt x="2194" y="853"/>
                  </a:lnTo>
                  <a:lnTo>
                    <a:pt x="2156" y="747"/>
                  </a:lnTo>
                  <a:lnTo>
                    <a:pt x="2119" y="640"/>
                  </a:lnTo>
                  <a:lnTo>
                    <a:pt x="2082" y="533"/>
                  </a:lnTo>
                  <a:lnTo>
                    <a:pt x="2045" y="427"/>
                  </a:lnTo>
                  <a:lnTo>
                    <a:pt x="2007" y="320"/>
                  </a:lnTo>
                  <a:lnTo>
                    <a:pt x="1970" y="213"/>
                  </a:lnTo>
                  <a:lnTo>
                    <a:pt x="1933" y="107"/>
                  </a:lnTo>
                  <a:lnTo>
                    <a:pt x="1896" y="0"/>
                  </a:lnTo>
                  <a:lnTo>
                    <a:pt x="1849" y="17"/>
                  </a:lnTo>
                  <a:lnTo>
                    <a:pt x="1803" y="34"/>
                  </a:lnTo>
                  <a:lnTo>
                    <a:pt x="1757" y="52"/>
                  </a:lnTo>
                  <a:lnTo>
                    <a:pt x="1711" y="70"/>
                  </a:lnTo>
                  <a:lnTo>
                    <a:pt x="1665" y="89"/>
                  </a:lnTo>
                  <a:lnTo>
                    <a:pt x="1619" y="108"/>
                  </a:lnTo>
                  <a:lnTo>
                    <a:pt x="1574" y="128"/>
                  </a:lnTo>
                  <a:lnTo>
                    <a:pt x="1529" y="149"/>
                  </a:lnTo>
                  <a:lnTo>
                    <a:pt x="1484" y="170"/>
                  </a:lnTo>
                  <a:lnTo>
                    <a:pt x="1439" y="192"/>
                  </a:lnTo>
                  <a:lnTo>
                    <a:pt x="1395" y="214"/>
                  </a:lnTo>
                  <a:lnTo>
                    <a:pt x="1351" y="236"/>
                  </a:lnTo>
                  <a:lnTo>
                    <a:pt x="1307" y="260"/>
                  </a:lnTo>
                  <a:lnTo>
                    <a:pt x="1264" y="283"/>
                  </a:lnTo>
                  <a:lnTo>
                    <a:pt x="1221" y="308"/>
                  </a:lnTo>
                  <a:lnTo>
                    <a:pt x="1178" y="333"/>
                  </a:lnTo>
                  <a:lnTo>
                    <a:pt x="1135" y="358"/>
                  </a:lnTo>
                  <a:lnTo>
                    <a:pt x="1093" y="384"/>
                  </a:lnTo>
                  <a:lnTo>
                    <a:pt x="1051" y="410"/>
                  </a:lnTo>
                  <a:lnTo>
                    <a:pt x="1009" y="437"/>
                  </a:lnTo>
                  <a:lnTo>
                    <a:pt x="968" y="464"/>
                  </a:lnTo>
                  <a:lnTo>
                    <a:pt x="927" y="492"/>
                  </a:lnTo>
                  <a:lnTo>
                    <a:pt x="887" y="520"/>
                  </a:lnTo>
                  <a:lnTo>
                    <a:pt x="846" y="549"/>
                  </a:lnTo>
                  <a:lnTo>
                    <a:pt x="807" y="579"/>
                  </a:lnTo>
                  <a:lnTo>
                    <a:pt x="767" y="609"/>
                  </a:lnTo>
                  <a:lnTo>
                    <a:pt x="728" y="639"/>
                  </a:lnTo>
                  <a:lnTo>
                    <a:pt x="689" y="670"/>
                  </a:lnTo>
                  <a:lnTo>
                    <a:pt x="651" y="701"/>
                  </a:lnTo>
                  <a:lnTo>
                    <a:pt x="613" y="733"/>
                  </a:lnTo>
                  <a:lnTo>
                    <a:pt x="575" y="765"/>
                  </a:lnTo>
                  <a:lnTo>
                    <a:pt x="538" y="797"/>
                  </a:lnTo>
                  <a:lnTo>
                    <a:pt x="501" y="831"/>
                  </a:lnTo>
                  <a:lnTo>
                    <a:pt x="465" y="864"/>
                  </a:lnTo>
                  <a:lnTo>
                    <a:pt x="428" y="898"/>
                  </a:lnTo>
                  <a:lnTo>
                    <a:pt x="393" y="933"/>
                  </a:lnTo>
                  <a:lnTo>
                    <a:pt x="358" y="967"/>
                  </a:lnTo>
                  <a:lnTo>
                    <a:pt x="323" y="1003"/>
                  </a:lnTo>
                  <a:lnTo>
                    <a:pt x="289" y="1038"/>
                  </a:lnTo>
                  <a:lnTo>
                    <a:pt x="255" y="1075"/>
                  </a:lnTo>
                  <a:lnTo>
                    <a:pt x="221" y="1111"/>
                  </a:lnTo>
                  <a:lnTo>
                    <a:pt x="188" y="1148"/>
                  </a:lnTo>
                  <a:lnTo>
                    <a:pt x="156" y="1185"/>
                  </a:lnTo>
                  <a:lnTo>
                    <a:pt x="124" y="1223"/>
                  </a:lnTo>
                  <a:lnTo>
                    <a:pt x="92" y="1261"/>
                  </a:lnTo>
                  <a:lnTo>
                    <a:pt x="61" y="1300"/>
                  </a:lnTo>
                  <a:lnTo>
                    <a:pt x="30" y="1338"/>
                  </a:lnTo>
                  <a:lnTo>
                    <a:pt x="0" y="1378"/>
                  </a:lnTo>
                  <a:lnTo>
                    <a:pt x="90" y="1446"/>
                  </a:lnTo>
                  <a:lnTo>
                    <a:pt x="180" y="1514"/>
                  </a:lnTo>
                  <a:lnTo>
                    <a:pt x="270" y="1583"/>
                  </a:lnTo>
                  <a:lnTo>
                    <a:pt x="359" y="1651"/>
                  </a:lnTo>
                  <a:lnTo>
                    <a:pt x="449" y="1719"/>
                  </a:lnTo>
                  <a:lnTo>
                    <a:pt x="539" y="1788"/>
                  </a:lnTo>
                  <a:lnTo>
                    <a:pt x="629" y="1856"/>
                  </a:lnTo>
                  <a:lnTo>
                    <a:pt x="719" y="1924"/>
                  </a:lnTo>
                  <a:lnTo>
                    <a:pt x="809" y="1993"/>
                  </a:lnTo>
                  <a:lnTo>
                    <a:pt x="899" y="2061"/>
                  </a:lnTo>
                  <a:lnTo>
                    <a:pt x="989" y="2130"/>
                  </a:lnTo>
                  <a:lnTo>
                    <a:pt x="1079" y="2198"/>
                  </a:lnTo>
                  <a:lnTo>
                    <a:pt x="1099" y="2172"/>
                  </a:lnTo>
                  <a:lnTo>
                    <a:pt x="1119" y="2146"/>
                  </a:lnTo>
                  <a:lnTo>
                    <a:pt x="1140" y="2120"/>
                  </a:lnTo>
                  <a:lnTo>
                    <a:pt x="1161" y="2095"/>
                  </a:lnTo>
                  <a:lnTo>
                    <a:pt x="1182" y="2070"/>
                  </a:lnTo>
                  <a:lnTo>
                    <a:pt x="1204" y="2045"/>
                  </a:lnTo>
                  <a:lnTo>
                    <a:pt x="1226" y="2020"/>
                  </a:lnTo>
                  <a:lnTo>
                    <a:pt x="1248" y="1996"/>
                  </a:lnTo>
                  <a:lnTo>
                    <a:pt x="1271" y="1972"/>
                  </a:lnTo>
                  <a:lnTo>
                    <a:pt x="1294" y="1948"/>
                  </a:lnTo>
                  <a:lnTo>
                    <a:pt x="1317" y="1924"/>
                  </a:lnTo>
                  <a:lnTo>
                    <a:pt x="1341" y="1901"/>
                  </a:lnTo>
                  <a:lnTo>
                    <a:pt x="1364" y="1878"/>
                  </a:lnTo>
                  <a:lnTo>
                    <a:pt x="1388" y="1856"/>
                  </a:lnTo>
                  <a:lnTo>
                    <a:pt x="1413" y="1833"/>
                  </a:lnTo>
                  <a:lnTo>
                    <a:pt x="1437" y="1811"/>
                  </a:lnTo>
                  <a:lnTo>
                    <a:pt x="1462" y="1789"/>
                  </a:lnTo>
                  <a:lnTo>
                    <a:pt x="1487" y="1768"/>
                  </a:lnTo>
                  <a:lnTo>
                    <a:pt x="1513" y="1747"/>
                  </a:lnTo>
                  <a:lnTo>
                    <a:pt x="1538" y="1726"/>
                  </a:lnTo>
                  <a:lnTo>
                    <a:pt x="1564" y="1705"/>
                  </a:lnTo>
                  <a:lnTo>
                    <a:pt x="1590" y="1685"/>
                  </a:lnTo>
                  <a:lnTo>
                    <a:pt x="1616" y="1665"/>
                  </a:lnTo>
                  <a:lnTo>
                    <a:pt x="1643" y="1646"/>
                  </a:lnTo>
                  <a:lnTo>
                    <a:pt x="1670" y="1626"/>
                  </a:lnTo>
                  <a:lnTo>
                    <a:pt x="1697" y="1608"/>
                  </a:lnTo>
                  <a:lnTo>
                    <a:pt x="1724" y="1589"/>
                  </a:lnTo>
                  <a:lnTo>
                    <a:pt x="1752" y="1571"/>
                  </a:lnTo>
                  <a:lnTo>
                    <a:pt x="1779" y="1553"/>
                  </a:lnTo>
                  <a:lnTo>
                    <a:pt x="1807" y="1535"/>
                  </a:lnTo>
                  <a:lnTo>
                    <a:pt x="1836" y="1518"/>
                  </a:lnTo>
                  <a:lnTo>
                    <a:pt x="1864" y="1501"/>
                  </a:lnTo>
                  <a:lnTo>
                    <a:pt x="1892" y="1485"/>
                  </a:lnTo>
                  <a:lnTo>
                    <a:pt x="1921" y="1468"/>
                  </a:lnTo>
                  <a:lnTo>
                    <a:pt x="1950" y="1453"/>
                  </a:lnTo>
                  <a:lnTo>
                    <a:pt x="1979" y="1437"/>
                  </a:lnTo>
                  <a:lnTo>
                    <a:pt x="2009" y="1422"/>
                  </a:lnTo>
                  <a:lnTo>
                    <a:pt x="2038" y="1407"/>
                  </a:lnTo>
                  <a:lnTo>
                    <a:pt x="2068" y="1393"/>
                  </a:lnTo>
                  <a:lnTo>
                    <a:pt x="2098" y="1379"/>
                  </a:lnTo>
                  <a:lnTo>
                    <a:pt x="2128" y="1365"/>
                  </a:lnTo>
                  <a:lnTo>
                    <a:pt x="2158" y="1352"/>
                  </a:lnTo>
                  <a:lnTo>
                    <a:pt x="2189" y="1339"/>
                  </a:lnTo>
                  <a:lnTo>
                    <a:pt x="2219" y="1326"/>
                  </a:lnTo>
                  <a:lnTo>
                    <a:pt x="2250" y="1314"/>
                  </a:lnTo>
                  <a:lnTo>
                    <a:pt x="2281" y="1302"/>
                  </a:lnTo>
                  <a:lnTo>
                    <a:pt x="2311" y="1291"/>
                  </a:lnTo>
                  <a:lnTo>
                    <a:pt x="2343" y="1280"/>
                  </a:lnTo>
                </a:path>
              </a:pathLst>
            </a:custGeom>
            <a:solidFill>
              <a:srgbClr val="FFC229"/>
            </a:solidFill>
            <a:ln w="25400">
              <a:solidFill>
                <a:srgbClr val="262626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21" name="Dial Panel #1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SpPr>
              <a:spLocks/>
            </xdr:cNvSpPr>
          </xdr:nvSpPr>
          <xdr:spPr bwMode="auto">
            <a:xfrm>
              <a:off x="193063" y="1944261"/>
              <a:ext cx="827134" cy="1018705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1838" y="773"/>
                  </a:moveTo>
                  <a:lnTo>
                    <a:pt x="1745" y="708"/>
                  </a:lnTo>
                  <a:lnTo>
                    <a:pt x="1653" y="644"/>
                  </a:lnTo>
                  <a:lnTo>
                    <a:pt x="1560" y="579"/>
                  </a:lnTo>
                  <a:lnTo>
                    <a:pt x="1467" y="515"/>
                  </a:lnTo>
                  <a:lnTo>
                    <a:pt x="1374" y="451"/>
                  </a:lnTo>
                  <a:lnTo>
                    <a:pt x="1281" y="386"/>
                  </a:lnTo>
                  <a:lnTo>
                    <a:pt x="1189" y="322"/>
                  </a:lnTo>
                  <a:lnTo>
                    <a:pt x="1096" y="258"/>
                  </a:lnTo>
                  <a:lnTo>
                    <a:pt x="1003" y="193"/>
                  </a:lnTo>
                  <a:lnTo>
                    <a:pt x="910" y="129"/>
                  </a:lnTo>
                  <a:lnTo>
                    <a:pt x="817" y="64"/>
                  </a:lnTo>
                  <a:lnTo>
                    <a:pt x="725" y="0"/>
                  </a:lnTo>
                  <a:lnTo>
                    <a:pt x="697" y="41"/>
                  </a:lnTo>
                  <a:lnTo>
                    <a:pt x="669" y="82"/>
                  </a:lnTo>
                  <a:lnTo>
                    <a:pt x="642" y="124"/>
                  </a:lnTo>
                  <a:lnTo>
                    <a:pt x="616" y="165"/>
                  </a:lnTo>
                  <a:lnTo>
                    <a:pt x="590" y="208"/>
                  </a:lnTo>
                  <a:lnTo>
                    <a:pt x="564" y="250"/>
                  </a:lnTo>
                  <a:lnTo>
                    <a:pt x="540" y="293"/>
                  </a:lnTo>
                  <a:lnTo>
                    <a:pt x="515" y="336"/>
                  </a:lnTo>
                  <a:lnTo>
                    <a:pt x="491" y="379"/>
                  </a:lnTo>
                  <a:lnTo>
                    <a:pt x="468" y="423"/>
                  </a:lnTo>
                  <a:lnTo>
                    <a:pt x="445" y="467"/>
                  </a:lnTo>
                  <a:lnTo>
                    <a:pt x="423" y="511"/>
                  </a:lnTo>
                  <a:lnTo>
                    <a:pt x="401" y="556"/>
                  </a:lnTo>
                  <a:lnTo>
                    <a:pt x="380" y="601"/>
                  </a:lnTo>
                  <a:lnTo>
                    <a:pt x="359" y="646"/>
                  </a:lnTo>
                  <a:lnTo>
                    <a:pt x="339" y="691"/>
                  </a:lnTo>
                  <a:lnTo>
                    <a:pt x="320" y="736"/>
                  </a:lnTo>
                  <a:lnTo>
                    <a:pt x="301" y="782"/>
                  </a:lnTo>
                  <a:lnTo>
                    <a:pt x="282" y="828"/>
                  </a:lnTo>
                  <a:lnTo>
                    <a:pt x="264" y="874"/>
                  </a:lnTo>
                  <a:lnTo>
                    <a:pt x="247" y="921"/>
                  </a:lnTo>
                  <a:lnTo>
                    <a:pt x="230" y="967"/>
                  </a:lnTo>
                  <a:lnTo>
                    <a:pt x="214" y="1014"/>
                  </a:lnTo>
                  <a:lnTo>
                    <a:pt x="199" y="1061"/>
                  </a:lnTo>
                  <a:lnTo>
                    <a:pt x="183" y="1108"/>
                  </a:lnTo>
                  <a:lnTo>
                    <a:pt x="169" y="1156"/>
                  </a:lnTo>
                  <a:lnTo>
                    <a:pt x="155" y="1203"/>
                  </a:lnTo>
                  <a:lnTo>
                    <a:pt x="142" y="1251"/>
                  </a:lnTo>
                  <a:lnTo>
                    <a:pt x="129" y="1299"/>
                  </a:lnTo>
                  <a:lnTo>
                    <a:pt x="117" y="1347"/>
                  </a:lnTo>
                  <a:lnTo>
                    <a:pt x="106" y="1395"/>
                  </a:lnTo>
                  <a:lnTo>
                    <a:pt x="95" y="1443"/>
                  </a:lnTo>
                  <a:lnTo>
                    <a:pt x="84" y="1492"/>
                  </a:lnTo>
                  <a:lnTo>
                    <a:pt x="75" y="1540"/>
                  </a:lnTo>
                  <a:lnTo>
                    <a:pt x="65" y="1589"/>
                  </a:lnTo>
                  <a:lnTo>
                    <a:pt x="57" y="1638"/>
                  </a:lnTo>
                  <a:lnTo>
                    <a:pt x="49" y="1687"/>
                  </a:lnTo>
                  <a:lnTo>
                    <a:pt x="41" y="1736"/>
                  </a:lnTo>
                  <a:lnTo>
                    <a:pt x="35" y="1785"/>
                  </a:lnTo>
                  <a:lnTo>
                    <a:pt x="28" y="1834"/>
                  </a:lnTo>
                  <a:lnTo>
                    <a:pt x="23" y="1883"/>
                  </a:lnTo>
                  <a:lnTo>
                    <a:pt x="18" y="1932"/>
                  </a:lnTo>
                  <a:lnTo>
                    <a:pt x="13" y="1982"/>
                  </a:lnTo>
                  <a:lnTo>
                    <a:pt x="10" y="2031"/>
                  </a:lnTo>
                  <a:lnTo>
                    <a:pt x="6" y="2080"/>
                  </a:lnTo>
                  <a:lnTo>
                    <a:pt x="4" y="2130"/>
                  </a:lnTo>
                  <a:lnTo>
                    <a:pt x="2" y="2179"/>
                  </a:lnTo>
                  <a:lnTo>
                    <a:pt x="0" y="2229"/>
                  </a:lnTo>
                  <a:lnTo>
                    <a:pt x="113" y="2231"/>
                  </a:lnTo>
                  <a:lnTo>
                    <a:pt x="226" y="2234"/>
                  </a:lnTo>
                  <a:lnTo>
                    <a:pt x="339" y="2236"/>
                  </a:lnTo>
                  <a:lnTo>
                    <a:pt x="452" y="2239"/>
                  </a:lnTo>
                  <a:lnTo>
                    <a:pt x="565" y="2241"/>
                  </a:lnTo>
                  <a:lnTo>
                    <a:pt x="678" y="2243"/>
                  </a:lnTo>
                  <a:lnTo>
                    <a:pt x="791" y="2246"/>
                  </a:lnTo>
                  <a:lnTo>
                    <a:pt x="904" y="2248"/>
                  </a:lnTo>
                  <a:lnTo>
                    <a:pt x="1017" y="2251"/>
                  </a:lnTo>
                  <a:lnTo>
                    <a:pt x="1130" y="2253"/>
                  </a:lnTo>
                  <a:lnTo>
                    <a:pt x="1242" y="2256"/>
                  </a:lnTo>
                  <a:lnTo>
                    <a:pt x="1355" y="2258"/>
                  </a:lnTo>
                  <a:lnTo>
                    <a:pt x="1356" y="2225"/>
                  </a:lnTo>
                  <a:lnTo>
                    <a:pt x="1358" y="2192"/>
                  </a:lnTo>
                  <a:lnTo>
                    <a:pt x="1359" y="2159"/>
                  </a:lnTo>
                  <a:lnTo>
                    <a:pt x="1361" y="2126"/>
                  </a:lnTo>
                  <a:lnTo>
                    <a:pt x="1364" y="2094"/>
                  </a:lnTo>
                  <a:lnTo>
                    <a:pt x="1367" y="2061"/>
                  </a:lnTo>
                  <a:lnTo>
                    <a:pt x="1370" y="2028"/>
                  </a:lnTo>
                  <a:lnTo>
                    <a:pt x="1374" y="1995"/>
                  </a:lnTo>
                  <a:lnTo>
                    <a:pt x="1378" y="1962"/>
                  </a:lnTo>
                  <a:lnTo>
                    <a:pt x="1383" y="1930"/>
                  </a:lnTo>
                  <a:lnTo>
                    <a:pt x="1388" y="1897"/>
                  </a:lnTo>
                  <a:lnTo>
                    <a:pt x="1393" y="1864"/>
                  </a:lnTo>
                  <a:lnTo>
                    <a:pt x="1399" y="1832"/>
                  </a:lnTo>
                  <a:lnTo>
                    <a:pt x="1405" y="1799"/>
                  </a:lnTo>
                  <a:lnTo>
                    <a:pt x="1411" y="1767"/>
                  </a:lnTo>
                  <a:lnTo>
                    <a:pt x="1418" y="1735"/>
                  </a:lnTo>
                  <a:lnTo>
                    <a:pt x="1425" y="1702"/>
                  </a:lnTo>
                  <a:lnTo>
                    <a:pt x="1433" y="1670"/>
                  </a:lnTo>
                  <a:lnTo>
                    <a:pt x="1441" y="1638"/>
                  </a:lnTo>
                  <a:lnTo>
                    <a:pt x="1450" y="1606"/>
                  </a:lnTo>
                  <a:lnTo>
                    <a:pt x="1459" y="1575"/>
                  </a:lnTo>
                  <a:lnTo>
                    <a:pt x="1468" y="1543"/>
                  </a:lnTo>
                  <a:lnTo>
                    <a:pt x="1477" y="1511"/>
                  </a:lnTo>
                  <a:lnTo>
                    <a:pt x="1487" y="1480"/>
                  </a:lnTo>
                  <a:lnTo>
                    <a:pt x="1498" y="1449"/>
                  </a:lnTo>
                  <a:lnTo>
                    <a:pt x="1509" y="1417"/>
                  </a:lnTo>
                  <a:lnTo>
                    <a:pt x="1520" y="1386"/>
                  </a:lnTo>
                  <a:lnTo>
                    <a:pt x="1531" y="1355"/>
                  </a:lnTo>
                  <a:lnTo>
                    <a:pt x="1543" y="1325"/>
                  </a:lnTo>
                  <a:lnTo>
                    <a:pt x="1555" y="1294"/>
                  </a:lnTo>
                  <a:lnTo>
                    <a:pt x="1568" y="1263"/>
                  </a:lnTo>
                  <a:lnTo>
                    <a:pt x="1581" y="1233"/>
                  </a:lnTo>
                  <a:lnTo>
                    <a:pt x="1595" y="1203"/>
                  </a:lnTo>
                  <a:lnTo>
                    <a:pt x="1608" y="1173"/>
                  </a:lnTo>
                  <a:lnTo>
                    <a:pt x="1622" y="1143"/>
                  </a:lnTo>
                  <a:lnTo>
                    <a:pt x="1637" y="1113"/>
                  </a:lnTo>
                  <a:lnTo>
                    <a:pt x="1652" y="1084"/>
                  </a:lnTo>
                  <a:lnTo>
                    <a:pt x="1667" y="1055"/>
                  </a:lnTo>
                  <a:lnTo>
                    <a:pt x="1683" y="1025"/>
                  </a:lnTo>
                  <a:lnTo>
                    <a:pt x="1698" y="996"/>
                  </a:lnTo>
                  <a:lnTo>
                    <a:pt x="1715" y="968"/>
                  </a:lnTo>
                  <a:lnTo>
                    <a:pt x="1731" y="939"/>
                  </a:lnTo>
                  <a:lnTo>
                    <a:pt x="1748" y="911"/>
                  </a:lnTo>
                  <a:lnTo>
                    <a:pt x="1766" y="883"/>
                  </a:lnTo>
                  <a:lnTo>
                    <a:pt x="1783" y="855"/>
                  </a:lnTo>
                  <a:lnTo>
                    <a:pt x="1801" y="827"/>
                  </a:lnTo>
                  <a:lnTo>
                    <a:pt x="1820" y="800"/>
                  </a:lnTo>
                  <a:lnTo>
                    <a:pt x="1838" y="773"/>
                  </a:lnTo>
                </a:path>
              </a:pathLst>
            </a:custGeom>
            <a:solidFill>
              <a:srgbClr val="FF3333"/>
            </a:solidFill>
            <a:ln w="25400">
              <a:solidFill>
                <a:srgbClr val="262626"/>
              </a:solidFill>
              <a:prstDash val="solid"/>
              <a:round/>
              <a:headEnd/>
              <a:tailEnd/>
            </a:ln>
          </xdr:spPr>
        </xdr:sp>
      </xdr:grpSp>
      <xdr:grpSp>
        <xdr:nvGrpSpPr>
          <xdr:cNvPr id="5" name="Linear Dial Scale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GrpSpPr/>
        </xdr:nvGrpSpPr>
        <xdr:grpSpPr>
          <a:xfrm>
            <a:off x="8731248" y="2939364"/>
            <a:ext cx="2597246" cy="1200046"/>
            <a:chOff x="7894692" y="2972457"/>
            <a:chExt cx="2556393" cy="1219489"/>
          </a:xfrm>
        </xdr:grpSpPr>
        <xdr:sp macro="" textlink="$O$4">
          <xdr:nvSpPr>
            <xdr:cNvPr id="11" name="Dial Scale Value #6">
              <a:extLst>
                <a:ext uri="{FF2B5EF4-FFF2-40B4-BE49-F238E27FC236}">
                  <a16:creationId xmlns:a16="http://schemas.microsoft.com/office/drawing/2014/main" id="{00000000-0008-0000-0300-00000B000000}"/>
                </a:ext>
              </a:extLst>
            </xdr:cNvPr>
            <xdr:cNvSpPr txBox="1"/>
          </xdr:nvSpPr>
          <xdr:spPr bwMode="auto">
            <a:xfrm>
              <a:off x="9890389" y="3915656"/>
              <a:ext cx="560696" cy="2762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06F0985A-DA1B-459D-BCE4-74ABC57FC7EA}" type="TxLink">
                <a:rPr lang="en-US" sz="1000" b="0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pPr algn="ctr"/>
                <a:t>١٠٠%</a:t>
              </a:fld>
              <a:endParaRPr lang="en-US" sz="1100" b="1" cap="none" spc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$O$9">
          <xdr:nvSpPr>
            <xdr:cNvPr id="12" name="Dial Scale Value #5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:cNvPr>
            <xdr:cNvSpPr txBox="1"/>
          </xdr:nvSpPr>
          <xdr:spPr bwMode="auto">
            <a:xfrm>
              <a:off x="9719329" y="3382130"/>
              <a:ext cx="551193" cy="2762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FB71F37-74D1-454E-A288-99930AABEDB2}" type="TxLink">
                <a:rPr lang="en-US" sz="1000" b="0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pPr algn="ctr"/>
                <a:t>٨٠%</a:t>
              </a:fld>
              <a:endParaRPr lang="en-US" sz="1100" b="1" cap="none" spc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$O$8">
          <xdr:nvSpPr>
            <xdr:cNvPr id="13" name="Dial Scale Value #4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 txBox="1"/>
          </xdr:nvSpPr>
          <xdr:spPr bwMode="auto">
            <a:xfrm>
              <a:off x="9234659" y="2981985"/>
              <a:ext cx="560696" cy="2762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09CC598-991D-4F6D-9E5A-2016EB74CDEB}" type="TxLink">
                <a:rPr lang="en-US" sz="1000" b="0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pPr algn="ctr"/>
                <a:t>٦٠%</a:t>
              </a:fld>
              <a:endParaRPr lang="en-US" sz="1100" b="1" cap="none" spc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$O$7">
          <xdr:nvSpPr>
            <xdr:cNvPr id="14" name="Dial Scale Value #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 bwMode="auto">
            <a:xfrm>
              <a:off x="8588434" y="2972457"/>
              <a:ext cx="560696" cy="2762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E8360E6-8FC3-4D59-B43A-3628AE64C8A8}" type="TxLink">
                <a:rPr lang="en-US" sz="1000" b="0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pPr algn="ctr"/>
                <a:t>٤٠%</a:t>
              </a:fld>
              <a:endParaRPr lang="en-US" sz="1100" b="1" cap="none" spc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$O$6">
          <xdr:nvSpPr>
            <xdr:cNvPr id="15" name="Dial Scale Value #2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SpPr txBox="1"/>
          </xdr:nvSpPr>
          <xdr:spPr bwMode="auto">
            <a:xfrm>
              <a:off x="8094261" y="3372603"/>
              <a:ext cx="551193" cy="2762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5BCD96F1-3F53-404B-9F88-7DD6F69CA26C}" type="TxLink">
                <a:rPr lang="en-US" sz="1000" b="0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pPr algn="ctr"/>
                <a:t>٢٠%</a:t>
              </a:fld>
              <a:endParaRPr lang="en-US" sz="1100" b="1" cap="none" spc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$O$3">
          <xdr:nvSpPr>
            <xdr:cNvPr id="16" name="Dial Scale Value #1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 txBox="1"/>
          </xdr:nvSpPr>
          <xdr:spPr bwMode="auto">
            <a:xfrm>
              <a:off x="7894692" y="3915656"/>
              <a:ext cx="541689" cy="27629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6017470E-52F7-46A8-9C1E-6D753197162E}" type="TxLink">
                <a:rPr lang="en-US" sz="1000" b="0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Arial"/>
                  <a:cs typeface="Arial"/>
                </a:rPr>
                <a:pPr algn="ctr"/>
                <a:t>٠%</a:t>
              </a:fld>
              <a:endParaRPr lang="en-US" sz="1100" b="1" cap="none" spc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</xdr:grpSp>
      <xdr:graphicFrame macro="">
        <xdr:nvGraphicFramePr>
          <xdr:cNvPr id="7" name="Linear Dial Needle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GraphicFramePr>
            <a:graphicFrameLocks/>
          </xdr:cNvGraphicFramePr>
        </xdr:nvGraphicFramePr>
        <xdr:xfrm>
          <a:off x="8001364" y="1723891"/>
          <a:ext cx="4100597" cy="26819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Dial Needle Circle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 bwMode="auto">
          <a:xfrm>
            <a:off x="9550195" y="3502339"/>
            <a:ext cx="968911" cy="984548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tx1">
                <a:lumMod val="95000"/>
                <a:lumOff val="5000"/>
              </a:schemeClr>
            </a:solidFill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  <xdr:sp macro="" textlink="$F$4">
        <xdr:nvSpPr>
          <xdr:cNvPr id="9" name="Linear Dial Main Value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 bwMode="auto">
          <a:xfrm>
            <a:off x="9495978" y="3757589"/>
            <a:ext cx="1064479" cy="472918"/>
          </a:xfrm>
          <a:prstGeom prst="rect">
            <a:avLst/>
          </a:prstGeom>
          <a:noFill/>
          <a:ln w="9525" cmpd="sng">
            <a:noFill/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 rtl="1"/>
            <a:fld id="{43D22CAD-B1AE-488E-AB2C-60DFCDCA2AB7}" type="TxLink">
              <a:rPr lang="en-US" sz="2800" b="1" i="0" u="none" strike="noStrike" cap="none" spc="50">
                <a:ln w="12700" cmpd="sng">
                  <a:solidFill>
                    <a:schemeClr val="bg1"/>
                  </a:solidFill>
                  <a:prstDash val="solid"/>
                </a:ln>
                <a:solidFill>
                  <a:schemeClr val="bg1"/>
                </a:solidFill>
                <a:effectLst/>
                <a:latin typeface="Calibri"/>
                <a:cs typeface="Calibri"/>
              </a:rPr>
              <a:pPr algn="ctr" rtl="1"/>
              <a:t>١٠٠%</a:t>
            </a:fld>
            <a:endParaRPr lang="en-US" sz="4000" b="1" cap="none" spc="50">
              <a:ln w="12700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sp macro="" textlink="$D$9">
        <xdr:nvSpPr>
          <xdr:cNvPr id="10" name="Linear Dial Title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 bwMode="auto">
          <a:xfrm>
            <a:off x="8380588" y="1284174"/>
            <a:ext cx="3336794" cy="8376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 rtl="1"/>
            <a:fld id="{9E17ECE5-66E7-4A61-B846-ECE38C2BEB7E}" type="TxLink">
              <a:rPr lang="ar-SA" sz="20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 rtl="1"/>
              <a:t>الدرجة العامة-مؤسسة ……….</a:t>
            </a:fld>
            <a:endParaRPr lang="en-US" sz="2400" b="1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e1" displayName="Table1" ref="AX3:BM8" totalsRowShown="0" headerRowDxfId="16">
  <autoFilter ref="AX3:BM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المجال" dataDxfId="15"/>
    <tableColumn id="2" name="رقم المؤشر" dataDxfId="14"/>
    <tableColumn id="3" name="المؤشر" dataDxfId="13"/>
    <tableColumn id="4" name="الممارسة" dataDxfId="12"/>
    <tableColumn id="5" name="السؤال1" dataDxfId="11"/>
    <tableColumn id="6" name="السؤال2" dataDxfId="10"/>
    <tableColumn id="7" name="السؤال3" dataDxfId="9"/>
    <tableColumn id="8" name="السؤال4" dataDxfId="8"/>
    <tableColumn id="9" name="السؤال5" dataDxfId="7"/>
    <tableColumn id="10" name="السؤال6" dataDxfId="6"/>
    <tableColumn id="11" name="السؤال7" dataDxfId="5"/>
    <tableColumn id="12" name="السؤال8" dataDxfId="4"/>
    <tableColumn id="13" name="مجموع درجات الممارسة" dataDxfId="3">
      <calculatedColumnFormula>SUM(BB4:BI5)</calculatedColumnFormula>
    </tableColumn>
    <tableColumn id="14" name="درجة الممارسة العظمى" dataDxfId="2"/>
    <tableColumn id="15" name="% المحققة" dataDxfId="1">
      <calculatedColumnFormula>BJ4/BK4</calculatedColumnFormula>
    </tableColumn>
    <tableColumn id="16" name="Blank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296"/>
  <sheetViews>
    <sheetView showGridLines="0" showRowColHeaders="0" rightToLeft="1" topLeftCell="AH174" zoomScale="70" zoomScaleNormal="70" workbookViewId="0">
      <selection activeCell="AL178" sqref="AL178"/>
    </sheetView>
  </sheetViews>
  <sheetFormatPr defaultColWidth="9" defaultRowHeight="36.75" x14ac:dyDescent="0.85"/>
  <cols>
    <col min="1" max="1" width="11.42578125" style="80" hidden="1" customWidth="1"/>
    <col min="2" max="2" width="10" style="360" hidden="1" customWidth="1"/>
    <col min="3" max="3" width="16.140625" style="80" hidden="1" customWidth="1"/>
    <col min="4" max="4" width="8.140625" style="198" hidden="1" customWidth="1"/>
    <col min="5" max="5" width="11.7109375" style="91" hidden="1" customWidth="1"/>
    <col min="6" max="6" width="6.85546875" style="91" hidden="1" customWidth="1"/>
    <col min="7" max="7" width="58.140625" style="199" hidden="1" customWidth="1"/>
    <col min="8" max="8" width="6.85546875" style="200" hidden="1" customWidth="1"/>
    <col min="9" max="9" width="7.140625" style="91" hidden="1" customWidth="1"/>
    <col min="10" max="10" width="56.7109375" style="80" hidden="1" customWidth="1"/>
    <col min="11" max="11" width="6.42578125" style="91" hidden="1" customWidth="1"/>
    <col min="12" max="12" width="14.140625" style="80" hidden="1" customWidth="1"/>
    <col min="13" max="13" width="43.140625" style="80" hidden="1" customWidth="1"/>
    <col min="14" max="14" width="9" style="80" hidden="1" customWidth="1"/>
    <col min="15" max="15" width="46.140625" style="80" hidden="1" customWidth="1"/>
    <col min="16" max="16" width="9" style="198" hidden="1" customWidth="1"/>
    <col min="17" max="17" width="6.85546875" style="201" hidden="1" customWidth="1"/>
    <col min="18" max="18" width="9.42578125" style="91" hidden="1" customWidth="1"/>
    <col min="19" max="19" width="8.42578125" style="91" hidden="1" customWidth="1"/>
    <col min="20" max="20" width="14" style="91" hidden="1" customWidth="1"/>
    <col min="21" max="22" width="8.42578125" style="80" hidden="1" customWidth="1"/>
    <col min="23" max="26" width="9" style="80" hidden="1" customWidth="1"/>
    <col min="27" max="27" width="28.140625" style="80" hidden="1" customWidth="1" collapsed="1"/>
    <col min="28" max="29" width="44.85546875" style="317" hidden="1" customWidth="1"/>
    <col min="30" max="30" width="8.42578125" style="318" hidden="1" customWidth="1"/>
    <col min="31" max="31" width="7" style="318" hidden="1" customWidth="1"/>
    <col min="32" max="32" width="9" style="318" hidden="1" customWidth="1"/>
    <col min="33" max="33" width="37.42578125" style="318" hidden="1" customWidth="1"/>
    <col min="34" max="34" width="9" style="80" customWidth="1"/>
    <col min="35" max="16384" width="9" style="80"/>
  </cols>
  <sheetData>
    <row r="1" spans="1:32" ht="102" thickBot="1" x14ac:dyDescent="2.15">
      <c r="A1" s="892" t="s">
        <v>445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892"/>
      <c r="R1" s="892"/>
      <c r="S1" s="892"/>
      <c r="T1" s="892"/>
    </row>
    <row r="2" spans="1:32" ht="42" customHeight="1" thickBot="1" x14ac:dyDescent="0.55000000000000004">
      <c r="A2" s="81" t="s">
        <v>115</v>
      </c>
      <c r="B2" s="357" t="s">
        <v>116</v>
      </c>
      <c r="C2" s="81" t="s">
        <v>117</v>
      </c>
      <c r="D2" s="83" t="s">
        <v>118</v>
      </c>
      <c r="E2" s="84" t="s">
        <v>41</v>
      </c>
      <c r="F2" s="84" t="s">
        <v>5</v>
      </c>
      <c r="G2" s="81" t="s">
        <v>119</v>
      </c>
      <c r="H2" s="84" t="s">
        <v>5</v>
      </c>
      <c r="I2" s="85" t="s">
        <v>10</v>
      </c>
      <c r="J2" s="81" t="s">
        <v>4</v>
      </c>
      <c r="K2" s="85" t="s">
        <v>29</v>
      </c>
      <c r="L2" s="82" t="s">
        <v>6</v>
      </c>
      <c r="M2" s="81" t="s">
        <v>7</v>
      </c>
      <c r="N2" s="81" t="s">
        <v>8</v>
      </c>
      <c r="O2" s="81" t="s">
        <v>367</v>
      </c>
      <c r="P2" s="86" t="s">
        <v>9</v>
      </c>
      <c r="Q2" s="87" t="s">
        <v>39</v>
      </c>
      <c r="R2" s="85" t="s">
        <v>29</v>
      </c>
      <c r="S2" s="85" t="s">
        <v>30</v>
      </c>
      <c r="T2" s="85" t="s">
        <v>31</v>
      </c>
      <c r="U2" s="88"/>
      <c r="V2" s="88"/>
      <c r="AA2" s="80" t="s">
        <v>10</v>
      </c>
      <c r="AB2" s="317" t="s">
        <v>366</v>
      </c>
      <c r="AC2" s="317" t="s">
        <v>441</v>
      </c>
      <c r="AD2" s="318" t="s">
        <v>369</v>
      </c>
      <c r="AE2" s="318" t="s">
        <v>5</v>
      </c>
    </row>
    <row r="3" spans="1:32" ht="23.25" x14ac:dyDescent="0.5">
      <c r="A3" s="768" t="s">
        <v>120</v>
      </c>
      <c r="B3" s="770">
        <v>1</v>
      </c>
      <c r="C3" s="772" t="s">
        <v>121</v>
      </c>
      <c r="D3" s="714">
        <v>0.13</v>
      </c>
      <c r="E3" s="636">
        <v>1</v>
      </c>
      <c r="F3" s="699">
        <v>6</v>
      </c>
      <c r="G3" s="635" t="s">
        <v>122</v>
      </c>
      <c r="H3" s="636">
        <v>6</v>
      </c>
      <c r="I3" s="675">
        <v>1</v>
      </c>
      <c r="J3" s="671" t="s">
        <v>123</v>
      </c>
      <c r="K3" s="675">
        <v>6</v>
      </c>
      <c r="L3" s="608" t="s">
        <v>124</v>
      </c>
      <c r="M3" s="608" t="s">
        <v>132</v>
      </c>
      <c r="N3" s="42" t="s">
        <v>125</v>
      </c>
      <c r="O3" s="42" t="s">
        <v>126</v>
      </c>
      <c r="P3" s="89" t="s">
        <v>2</v>
      </c>
      <c r="Q3" s="649">
        <v>100</v>
      </c>
      <c r="R3" s="657">
        <f>Q3*K3*0.01</f>
        <v>6</v>
      </c>
      <c r="S3" s="656">
        <f>SUM(R3:R7)</f>
        <v>6</v>
      </c>
      <c r="T3" s="694">
        <f>SUM(S3:S31)</f>
        <v>13</v>
      </c>
      <c r="U3" s="90"/>
      <c r="V3" s="90"/>
      <c r="AA3" s="80" t="s">
        <v>375</v>
      </c>
      <c r="AB3" s="317" t="str">
        <f>N3&amp;" - "&amp;O3</f>
        <v>لا  - لا توجد</v>
      </c>
      <c r="AC3" s="317" t="str">
        <f>AA3&amp;"-"&amp;AB3</f>
        <v>1-1-1-لا  - لا توجد</v>
      </c>
      <c r="AD3" s="319">
        <f t="shared" ref="AD3:AD66" si="0">IF(AB3="","",IF(AND(LEN(AB3)=36,RIGHT(AB3,6)="التالي"),"",IF(P3="صفر",0,P3)))</f>
        <v>0</v>
      </c>
      <c r="AE3" s="320">
        <f>IF(AD3="","",AD3*$R$3)</f>
        <v>0</v>
      </c>
      <c r="AF3" s="320">
        <v>1</v>
      </c>
    </row>
    <row r="4" spans="1:32" ht="23.25" x14ac:dyDescent="0.5">
      <c r="A4" s="768"/>
      <c r="B4" s="770"/>
      <c r="C4" s="772"/>
      <c r="D4" s="714"/>
      <c r="E4" s="541"/>
      <c r="F4" s="699"/>
      <c r="G4" s="539"/>
      <c r="H4" s="541"/>
      <c r="I4" s="638"/>
      <c r="J4" s="608"/>
      <c r="K4" s="675"/>
      <c r="L4" s="545"/>
      <c r="M4" s="545"/>
      <c r="N4" s="44" t="s">
        <v>3</v>
      </c>
      <c r="O4" s="545" t="s">
        <v>14</v>
      </c>
      <c r="P4" s="761"/>
      <c r="Q4" s="550"/>
      <c r="R4" s="552"/>
      <c r="S4" s="656"/>
      <c r="T4" s="694"/>
      <c r="U4" s="90"/>
      <c r="V4" s="91">
        <v>0</v>
      </c>
      <c r="W4" s="91">
        <v>0</v>
      </c>
      <c r="AA4" s="80" t="str">
        <f>AA3</f>
        <v>1-1-1</v>
      </c>
      <c r="AB4" s="317" t="str">
        <f>N4&amp;" - "&amp;O4</f>
        <v>نعم - يتم الانتقال إلى السؤال التالي</v>
      </c>
      <c r="AC4" s="317" t="str">
        <f t="shared" ref="AC4:AC66" si="1">AA4&amp;"-"&amp;AB4</f>
        <v>1-1-1-نعم - يتم الانتقال إلى السؤال التالي</v>
      </c>
      <c r="AD4" s="319" t="str">
        <f t="shared" si="0"/>
        <v/>
      </c>
      <c r="AE4" s="320" t="s">
        <v>374</v>
      </c>
      <c r="AF4" s="320">
        <v>1</v>
      </c>
    </row>
    <row r="5" spans="1:32" ht="23.25" x14ac:dyDescent="0.5">
      <c r="A5" s="768"/>
      <c r="B5" s="770"/>
      <c r="C5" s="772"/>
      <c r="D5" s="714"/>
      <c r="E5" s="541"/>
      <c r="F5" s="699"/>
      <c r="G5" s="539"/>
      <c r="H5" s="541"/>
      <c r="I5" s="92"/>
      <c r="J5" s="36"/>
      <c r="K5" s="675"/>
      <c r="L5" s="39"/>
      <c r="M5" s="36"/>
      <c r="N5" s="39"/>
      <c r="O5" s="36"/>
      <c r="P5" s="93"/>
      <c r="Q5" s="550"/>
      <c r="R5" s="552"/>
      <c r="S5" s="656"/>
      <c r="T5" s="694"/>
      <c r="U5" s="90"/>
      <c r="V5" s="91">
        <v>100</v>
      </c>
      <c r="W5" s="91">
        <v>50</v>
      </c>
      <c r="AD5" s="319" t="str">
        <f t="shared" si="0"/>
        <v/>
      </c>
      <c r="AE5" s="320"/>
      <c r="AF5" s="320"/>
    </row>
    <row r="6" spans="1:32" ht="23.25" x14ac:dyDescent="0.5">
      <c r="A6" s="768"/>
      <c r="B6" s="770"/>
      <c r="C6" s="772"/>
      <c r="D6" s="714"/>
      <c r="E6" s="541"/>
      <c r="F6" s="699"/>
      <c r="G6" s="539"/>
      <c r="H6" s="541"/>
      <c r="I6" s="759">
        <v>2</v>
      </c>
      <c r="J6" s="559" t="s">
        <v>127</v>
      </c>
      <c r="K6" s="675"/>
      <c r="L6" s="545" t="s">
        <v>124</v>
      </c>
      <c r="M6" s="545" t="s">
        <v>128</v>
      </c>
      <c r="N6" s="44" t="s">
        <v>125</v>
      </c>
      <c r="O6" s="44" t="s">
        <v>129</v>
      </c>
      <c r="P6" s="94" t="s">
        <v>2</v>
      </c>
      <c r="Q6" s="550"/>
      <c r="R6" s="552"/>
      <c r="S6" s="656"/>
      <c r="T6" s="694"/>
      <c r="U6" s="90"/>
      <c r="V6" s="91"/>
      <c r="W6" s="91">
        <v>100</v>
      </c>
      <c r="AA6" s="80" t="s">
        <v>376</v>
      </c>
      <c r="AB6" s="317" t="str">
        <f>N6&amp;" - "&amp;O6</f>
        <v xml:space="preserve">لا  - لا تشمل بشكل متكامل </v>
      </c>
      <c r="AC6" s="317" t="str">
        <f t="shared" si="1"/>
        <v xml:space="preserve">1-1-2-لا  - لا تشمل بشكل متكامل </v>
      </c>
      <c r="AD6" s="319">
        <f t="shared" si="0"/>
        <v>0</v>
      </c>
      <c r="AE6" s="320">
        <f>IF(AD6="","",AD6*$R$3)</f>
        <v>0</v>
      </c>
      <c r="AF6" s="320">
        <v>1</v>
      </c>
    </row>
    <row r="7" spans="1:32" ht="23.25" x14ac:dyDescent="0.5">
      <c r="A7" s="768"/>
      <c r="B7" s="770"/>
      <c r="C7" s="772"/>
      <c r="D7" s="714"/>
      <c r="E7" s="541"/>
      <c r="F7" s="636"/>
      <c r="G7" s="539"/>
      <c r="H7" s="541"/>
      <c r="I7" s="638"/>
      <c r="J7" s="608"/>
      <c r="K7" s="638"/>
      <c r="L7" s="545"/>
      <c r="M7" s="545"/>
      <c r="N7" s="44" t="s">
        <v>3</v>
      </c>
      <c r="O7" s="44" t="s">
        <v>130</v>
      </c>
      <c r="P7" s="95">
        <v>1</v>
      </c>
      <c r="Q7" s="550"/>
      <c r="R7" s="552"/>
      <c r="S7" s="657"/>
      <c r="T7" s="694"/>
      <c r="U7" s="90"/>
      <c r="V7" s="90"/>
      <c r="AA7" s="80" t="str">
        <f>AA6</f>
        <v>1-1-2</v>
      </c>
      <c r="AB7" s="317" t="str">
        <f>N7&amp;" - "&amp;O7</f>
        <v>نعم - تشمل بشكل متكامل</v>
      </c>
      <c r="AC7" s="317" t="str">
        <f t="shared" si="1"/>
        <v>1-1-2-نعم - تشمل بشكل متكامل</v>
      </c>
      <c r="AD7" s="319">
        <f t="shared" si="0"/>
        <v>1</v>
      </c>
      <c r="AE7" s="320">
        <f>IF(AD7="","",AD7*$R$3)</f>
        <v>6</v>
      </c>
      <c r="AF7" s="320">
        <v>1</v>
      </c>
    </row>
    <row r="8" spans="1:32" ht="23.25" x14ac:dyDescent="0.5">
      <c r="A8" s="768"/>
      <c r="B8" s="770"/>
      <c r="C8" s="772"/>
      <c r="D8" s="714"/>
      <c r="E8" s="96"/>
      <c r="F8" s="97"/>
      <c r="G8" s="98"/>
      <c r="H8" s="97"/>
      <c r="I8" s="92"/>
      <c r="J8" s="36"/>
      <c r="K8" s="92"/>
      <c r="L8" s="36"/>
      <c r="M8" s="39"/>
      <c r="N8" s="36"/>
      <c r="O8" s="39"/>
      <c r="P8" s="99"/>
      <c r="Q8" s="92"/>
      <c r="R8" s="97"/>
      <c r="S8" s="96"/>
      <c r="T8" s="694"/>
      <c r="U8" s="90"/>
      <c r="V8" s="90"/>
      <c r="AD8" s="319" t="str">
        <f t="shared" si="0"/>
        <v/>
      </c>
      <c r="AE8" s="320"/>
      <c r="AF8" s="320"/>
    </row>
    <row r="9" spans="1:32" ht="23.25" x14ac:dyDescent="0.5">
      <c r="A9" s="768"/>
      <c r="B9" s="770"/>
      <c r="C9" s="772"/>
      <c r="D9" s="714"/>
      <c r="E9" s="645">
        <v>2</v>
      </c>
      <c r="F9" s="645">
        <v>5</v>
      </c>
      <c r="G9" s="590" t="s">
        <v>131</v>
      </c>
      <c r="H9" s="645">
        <v>5</v>
      </c>
      <c r="I9" s="646">
        <v>1</v>
      </c>
      <c r="J9" s="592" t="s">
        <v>123</v>
      </c>
      <c r="K9" s="646">
        <v>1</v>
      </c>
      <c r="L9" s="592" t="s">
        <v>124</v>
      </c>
      <c r="M9" s="592" t="s">
        <v>132</v>
      </c>
      <c r="N9" s="43" t="s">
        <v>125</v>
      </c>
      <c r="O9" s="43" t="s">
        <v>126</v>
      </c>
      <c r="P9" s="100" t="s">
        <v>2</v>
      </c>
      <c r="Q9" s="550">
        <v>100</v>
      </c>
      <c r="R9" s="598">
        <f>Q9*K9*0.01</f>
        <v>1</v>
      </c>
      <c r="S9" s="650">
        <f>SUM(R9:R22)</f>
        <v>5</v>
      </c>
      <c r="T9" s="694"/>
      <c r="U9" s="90"/>
      <c r="V9" s="90"/>
      <c r="AA9" s="80" t="s">
        <v>377</v>
      </c>
      <c r="AB9" s="317" t="str">
        <f>N9&amp;" - "&amp;O9</f>
        <v>لا  - لا توجد</v>
      </c>
      <c r="AC9" s="317" t="str">
        <f t="shared" si="1"/>
        <v>1-2-1-لا  - لا توجد</v>
      </c>
      <c r="AD9" s="319">
        <f t="shared" si="0"/>
        <v>0</v>
      </c>
      <c r="AE9" s="320">
        <f>IF(AD9="","",AD9*$R$9)</f>
        <v>0</v>
      </c>
      <c r="AF9" s="320">
        <v>1</v>
      </c>
    </row>
    <row r="10" spans="1:32" ht="23.25" x14ac:dyDescent="0.5">
      <c r="A10" s="768"/>
      <c r="B10" s="770"/>
      <c r="C10" s="772"/>
      <c r="D10" s="714"/>
      <c r="E10" s="699"/>
      <c r="F10" s="699"/>
      <c r="G10" s="726"/>
      <c r="H10" s="699"/>
      <c r="I10" s="760"/>
      <c r="J10" s="592"/>
      <c r="K10" s="767"/>
      <c r="L10" s="592"/>
      <c r="M10" s="592"/>
      <c r="N10" s="43" t="s">
        <v>3</v>
      </c>
      <c r="O10" s="592" t="s">
        <v>14</v>
      </c>
      <c r="P10" s="766"/>
      <c r="Q10" s="550"/>
      <c r="R10" s="598"/>
      <c r="S10" s="651"/>
      <c r="T10" s="694"/>
      <c r="U10" s="90"/>
      <c r="V10" s="90"/>
      <c r="AA10" s="80" t="str">
        <f>AA9</f>
        <v>1-2-1</v>
      </c>
      <c r="AB10" s="317" t="str">
        <f>N10&amp;" - "&amp;O10</f>
        <v>نعم - يتم الانتقال إلى السؤال التالي</v>
      </c>
      <c r="AC10" s="317" t="str">
        <f t="shared" si="1"/>
        <v>1-2-1-نعم - يتم الانتقال إلى السؤال التالي</v>
      </c>
      <c r="AD10" s="319" t="str">
        <f t="shared" si="0"/>
        <v/>
      </c>
      <c r="AE10" s="320" t="s">
        <v>374</v>
      </c>
      <c r="AF10" s="320">
        <v>1</v>
      </c>
    </row>
    <row r="11" spans="1:32" ht="23.25" x14ac:dyDescent="0.5">
      <c r="A11" s="768"/>
      <c r="B11" s="770"/>
      <c r="C11" s="772"/>
      <c r="D11" s="714"/>
      <c r="E11" s="699"/>
      <c r="F11" s="699"/>
      <c r="G11" s="726"/>
      <c r="H11" s="699"/>
      <c r="I11" s="92"/>
      <c r="J11" s="36"/>
      <c r="K11" s="767"/>
      <c r="L11" s="39"/>
      <c r="M11" s="36"/>
      <c r="N11" s="39"/>
      <c r="O11" s="36"/>
      <c r="P11" s="93"/>
      <c r="Q11" s="550"/>
      <c r="R11" s="598"/>
      <c r="S11" s="651"/>
      <c r="T11" s="694"/>
      <c r="U11" s="90"/>
      <c r="V11" s="90"/>
      <c r="AD11" s="319" t="str">
        <f t="shared" si="0"/>
        <v/>
      </c>
      <c r="AE11" s="320"/>
      <c r="AF11" s="320"/>
    </row>
    <row r="12" spans="1:32" ht="23.25" x14ac:dyDescent="0.5">
      <c r="A12" s="768"/>
      <c r="B12" s="770"/>
      <c r="C12" s="772"/>
      <c r="D12" s="714"/>
      <c r="E12" s="699"/>
      <c r="F12" s="699"/>
      <c r="G12" s="726"/>
      <c r="H12" s="699"/>
      <c r="I12" s="646">
        <v>2</v>
      </c>
      <c r="J12" s="592" t="s">
        <v>133</v>
      </c>
      <c r="K12" s="767"/>
      <c r="L12" s="592" t="s">
        <v>124</v>
      </c>
      <c r="M12" s="592" t="s">
        <v>128</v>
      </c>
      <c r="N12" s="43" t="s">
        <v>125</v>
      </c>
      <c r="O12" s="43" t="s">
        <v>134</v>
      </c>
      <c r="P12" s="100" t="s">
        <v>2</v>
      </c>
      <c r="Q12" s="550"/>
      <c r="R12" s="598"/>
      <c r="S12" s="651"/>
      <c r="T12" s="694"/>
      <c r="U12" s="90"/>
      <c r="V12" s="90"/>
      <c r="AA12" s="80" t="s">
        <v>378</v>
      </c>
      <c r="AB12" s="317" t="str">
        <f>N12&amp;" - "&amp;O12</f>
        <v>لا  - لم يتم تحديدها بشكل متكامل</v>
      </c>
      <c r="AC12" s="317" t="str">
        <f t="shared" si="1"/>
        <v>1-2-2-لا  - لم يتم تحديدها بشكل متكامل</v>
      </c>
      <c r="AD12" s="319">
        <f t="shared" si="0"/>
        <v>0</v>
      </c>
      <c r="AE12" s="320">
        <f>IF(AD12="","",AD12*$R$9)</f>
        <v>0</v>
      </c>
      <c r="AF12" s="320">
        <v>1</v>
      </c>
    </row>
    <row r="13" spans="1:32" ht="23.25" x14ac:dyDescent="0.5">
      <c r="A13" s="768"/>
      <c r="B13" s="770"/>
      <c r="C13" s="772"/>
      <c r="D13" s="714"/>
      <c r="E13" s="699"/>
      <c r="F13" s="699"/>
      <c r="G13" s="726"/>
      <c r="H13" s="699"/>
      <c r="I13" s="760"/>
      <c r="J13" s="592"/>
      <c r="K13" s="760"/>
      <c r="L13" s="592"/>
      <c r="M13" s="592"/>
      <c r="N13" s="43" t="s">
        <v>3</v>
      </c>
      <c r="O13" s="43" t="s">
        <v>135</v>
      </c>
      <c r="P13" s="101">
        <v>1</v>
      </c>
      <c r="Q13" s="550"/>
      <c r="R13" s="598"/>
      <c r="S13" s="651"/>
      <c r="T13" s="694"/>
      <c r="U13" s="90"/>
      <c r="V13" s="90"/>
      <c r="AA13" s="80" t="str">
        <f>AA12</f>
        <v>1-2-2</v>
      </c>
      <c r="AB13" s="317" t="str">
        <f>N13&amp;" - "&amp;O13</f>
        <v>نعم - تم تحديدها بشكل متكامل</v>
      </c>
      <c r="AC13" s="317" t="str">
        <f t="shared" si="1"/>
        <v>1-2-2-نعم - تم تحديدها بشكل متكامل</v>
      </c>
      <c r="AD13" s="319">
        <f t="shared" si="0"/>
        <v>1</v>
      </c>
      <c r="AE13" s="320">
        <f>IF(AD13="","",AD13*$R$9)</f>
        <v>1</v>
      </c>
      <c r="AF13" s="320">
        <v>1</v>
      </c>
    </row>
    <row r="14" spans="1:32" ht="23.25" x14ac:dyDescent="0.5">
      <c r="A14" s="768"/>
      <c r="B14" s="770"/>
      <c r="C14" s="772"/>
      <c r="D14" s="714"/>
      <c r="E14" s="699"/>
      <c r="F14" s="699"/>
      <c r="G14" s="726"/>
      <c r="H14" s="699"/>
      <c r="I14" s="92"/>
      <c r="J14" s="36"/>
      <c r="K14" s="92"/>
      <c r="L14" s="36"/>
      <c r="M14" s="39"/>
      <c r="N14" s="36"/>
      <c r="O14" s="39"/>
      <c r="P14" s="99"/>
      <c r="Q14" s="92"/>
      <c r="R14" s="97"/>
      <c r="S14" s="651"/>
      <c r="T14" s="694"/>
      <c r="U14" s="90"/>
      <c r="V14" s="90"/>
      <c r="AD14" s="319" t="str">
        <f t="shared" si="0"/>
        <v/>
      </c>
      <c r="AE14" s="320"/>
      <c r="AF14" s="320"/>
    </row>
    <row r="15" spans="1:32" ht="23.25" x14ac:dyDescent="0.5">
      <c r="A15" s="768"/>
      <c r="B15" s="770"/>
      <c r="C15" s="772"/>
      <c r="D15" s="714"/>
      <c r="E15" s="699"/>
      <c r="F15" s="699"/>
      <c r="G15" s="726"/>
      <c r="H15" s="699"/>
      <c r="I15" s="646">
        <v>3</v>
      </c>
      <c r="J15" s="641" t="s">
        <v>136</v>
      </c>
      <c r="K15" s="646">
        <v>1</v>
      </c>
      <c r="L15" s="592" t="s">
        <v>124</v>
      </c>
      <c r="M15" s="592" t="s">
        <v>128</v>
      </c>
      <c r="N15" s="43" t="s">
        <v>125</v>
      </c>
      <c r="O15" s="43" t="s">
        <v>134</v>
      </c>
      <c r="P15" s="102" t="s">
        <v>2</v>
      </c>
      <c r="Q15" s="550">
        <v>100</v>
      </c>
      <c r="R15" s="650">
        <f>Q15*K15*0.01</f>
        <v>1</v>
      </c>
      <c r="S15" s="651"/>
      <c r="T15" s="694"/>
      <c r="U15" s="90"/>
      <c r="V15" s="90"/>
      <c r="AA15" s="80" t="s">
        <v>379</v>
      </c>
      <c r="AB15" s="317" t="str">
        <f>N15&amp;" - "&amp;O15</f>
        <v>لا  - لم يتم تحديدها بشكل متكامل</v>
      </c>
      <c r="AC15" s="317" t="str">
        <f t="shared" si="1"/>
        <v>1-2-3-لا  - لم يتم تحديدها بشكل متكامل</v>
      </c>
      <c r="AD15" s="319">
        <f t="shared" si="0"/>
        <v>0</v>
      </c>
      <c r="AE15" s="320">
        <f>IF(AD15="","",AD15*$R$15)</f>
        <v>0</v>
      </c>
      <c r="AF15" s="320">
        <v>1</v>
      </c>
    </row>
    <row r="16" spans="1:32" ht="23.25" x14ac:dyDescent="0.5">
      <c r="A16" s="768"/>
      <c r="B16" s="770"/>
      <c r="C16" s="772"/>
      <c r="D16" s="714"/>
      <c r="E16" s="699"/>
      <c r="F16" s="699"/>
      <c r="G16" s="726"/>
      <c r="H16" s="699"/>
      <c r="I16" s="760"/>
      <c r="J16" s="765"/>
      <c r="K16" s="760"/>
      <c r="L16" s="592"/>
      <c r="M16" s="592"/>
      <c r="N16" s="43" t="s">
        <v>3</v>
      </c>
      <c r="O16" s="43" t="s">
        <v>135</v>
      </c>
      <c r="P16" s="103">
        <v>1</v>
      </c>
      <c r="Q16" s="550"/>
      <c r="R16" s="652"/>
      <c r="S16" s="651"/>
      <c r="T16" s="694"/>
      <c r="U16" s="90"/>
      <c r="V16" s="90"/>
      <c r="AA16" s="80" t="str">
        <f>AA15</f>
        <v>1-2-3</v>
      </c>
      <c r="AB16" s="317" t="str">
        <f>N16&amp;" - "&amp;O16</f>
        <v>نعم - تم تحديدها بشكل متكامل</v>
      </c>
      <c r="AC16" s="317" t="str">
        <f t="shared" si="1"/>
        <v>1-2-3-نعم - تم تحديدها بشكل متكامل</v>
      </c>
      <c r="AD16" s="319">
        <f t="shared" si="0"/>
        <v>1</v>
      </c>
      <c r="AE16" s="320">
        <f>IF(AD16="","",AD16*$R$15)</f>
        <v>1</v>
      </c>
      <c r="AF16" s="320">
        <v>1</v>
      </c>
    </row>
    <row r="17" spans="1:32" ht="23.25" x14ac:dyDescent="0.5">
      <c r="A17" s="768"/>
      <c r="B17" s="770"/>
      <c r="C17" s="772"/>
      <c r="D17" s="714"/>
      <c r="E17" s="699"/>
      <c r="F17" s="699"/>
      <c r="G17" s="726"/>
      <c r="H17" s="699"/>
      <c r="I17" s="92"/>
      <c r="J17" s="36"/>
      <c r="K17" s="92"/>
      <c r="L17" s="36"/>
      <c r="M17" s="39"/>
      <c r="N17" s="36"/>
      <c r="O17" s="39"/>
      <c r="P17" s="99"/>
      <c r="Q17" s="92"/>
      <c r="R17" s="97"/>
      <c r="S17" s="651"/>
      <c r="T17" s="694"/>
      <c r="U17" s="90"/>
      <c r="V17" s="90"/>
      <c r="AD17" s="319" t="str">
        <f t="shared" si="0"/>
        <v/>
      </c>
      <c r="AE17" s="320"/>
      <c r="AF17" s="320"/>
    </row>
    <row r="18" spans="1:32" ht="23.25" x14ac:dyDescent="0.5">
      <c r="A18" s="768"/>
      <c r="B18" s="770"/>
      <c r="C18" s="772"/>
      <c r="D18" s="714"/>
      <c r="E18" s="699"/>
      <c r="F18" s="699"/>
      <c r="G18" s="726"/>
      <c r="H18" s="699"/>
      <c r="I18" s="646">
        <v>4</v>
      </c>
      <c r="J18" s="641" t="s">
        <v>488</v>
      </c>
      <c r="K18" s="646">
        <v>2</v>
      </c>
      <c r="L18" s="592" t="s">
        <v>124</v>
      </c>
      <c r="M18" s="592" t="s">
        <v>128</v>
      </c>
      <c r="N18" s="43" t="s">
        <v>125</v>
      </c>
      <c r="O18" s="43" t="s">
        <v>134</v>
      </c>
      <c r="P18" s="102" t="s">
        <v>2</v>
      </c>
      <c r="Q18" s="550">
        <v>100</v>
      </c>
      <c r="R18" s="650">
        <f>Q18*K18*0.01</f>
        <v>2</v>
      </c>
      <c r="S18" s="651"/>
      <c r="T18" s="694"/>
      <c r="U18" s="90"/>
      <c r="V18" s="90"/>
      <c r="AA18" s="80" t="s">
        <v>380</v>
      </c>
      <c r="AB18" s="317" t="str">
        <f>N18&amp;" - "&amp;O18</f>
        <v>لا  - لم يتم تحديدها بشكل متكامل</v>
      </c>
      <c r="AC18" s="317" t="str">
        <f t="shared" si="1"/>
        <v>1-2-4-لا  - لم يتم تحديدها بشكل متكامل</v>
      </c>
      <c r="AD18" s="319">
        <f t="shared" si="0"/>
        <v>0</v>
      </c>
      <c r="AE18" s="320">
        <f>IF(AD18="","",AD18*$R$18)</f>
        <v>0</v>
      </c>
      <c r="AF18" s="320">
        <v>1</v>
      </c>
    </row>
    <row r="19" spans="1:32" ht="23.25" x14ac:dyDescent="0.5">
      <c r="A19" s="768"/>
      <c r="B19" s="770"/>
      <c r="C19" s="772"/>
      <c r="D19" s="714"/>
      <c r="E19" s="699"/>
      <c r="F19" s="699"/>
      <c r="G19" s="726"/>
      <c r="H19" s="699"/>
      <c r="I19" s="760"/>
      <c r="J19" s="765"/>
      <c r="K19" s="760"/>
      <c r="L19" s="592"/>
      <c r="M19" s="592"/>
      <c r="N19" s="43" t="s">
        <v>3</v>
      </c>
      <c r="O19" s="43" t="s">
        <v>135</v>
      </c>
      <c r="P19" s="103">
        <v>1</v>
      </c>
      <c r="Q19" s="550"/>
      <c r="R19" s="652"/>
      <c r="S19" s="651"/>
      <c r="T19" s="694"/>
      <c r="U19" s="90"/>
      <c r="V19" s="90"/>
      <c r="AA19" s="80" t="str">
        <f>AA18</f>
        <v>1-2-4</v>
      </c>
      <c r="AB19" s="317" t="str">
        <f>N19&amp;" - "&amp;O19</f>
        <v>نعم - تم تحديدها بشكل متكامل</v>
      </c>
      <c r="AC19" s="317" t="str">
        <f t="shared" si="1"/>
        <v>1-2-4-نعم - تم تحديدها بشكل متكامل</v>
      </c>
      <c r="AD19" s="319">
        <f t="shared" si="0"/>
        <v>1</v>
      </c>
      <c r="AE19" s="320">
        <f>IF(AD19="","",AD19*$R$18)</f>
        <v>2</v>
      </c>
      <c r="AF19" s="320">
        <v>1</v>
      </c>
    </row>
    <row r="20" spans="1:32" ht="23.25" x14ac:dyDescent="0.5">
      <c r="A20" s="768"/>
      <c r="B20" s="770"/>
      <c r="C20" s="772"/>
      <c r="D20" s="714"/>
      <c r="E20" s="699"/>
      <c r="F20" s="699"/>
      <c r="G20" s="726"/>
      <c r="H20" s="699"/>
      <c r="I20" s="92"/>
      <c r="J20" s="36"/>
      <c r="K20" s="92"/>
      <c r="L20" s="36"/>
      <c r="M20" s="39"/>
      <c r="N20" s="36"/>
      <c r="O20" s="39"/>
      <c r="P20" s="99"/>
      <c r="Q20" s="92"/>
      <c r="R20" s="97"/>
      <c r="S20" s="651"/>
      <c r="T20" s="694"/>
      <c r="U20" s="90"/>
      <c r="V20" s="90"/>
      <c r="AD20" s="319" t="str">
        <f t="shared" si="0"/>
        <v/>
      </c>
      <c r="AE20" s="320"/>
      <c r="AF20" s="320"/>
    </row>
    <row r="21" spans="1:32" ht="23.25" x14ac:dyDescent="0.5">
      <c r="A21" s="768"/>
      <c r="B21" s="770"/>
      <c r="C21" s="772"/>
      <c r="D21" s="714"/>
      <c r="E21" s="699"/>
      <c r="F21" s="699"/>
      <c r="G21" s="726"/>
      <c r="H21" s="699"/>
      <c r="I21" s="646">
        <v>5</v>
      </c>
      <c r="J21" s="641" t="s">
        <v>137</v>
      </c>
      <c r="K21" s="646">
        <v>1</v>
      </c>
      <c r="L21" s="592" t="s">
        <v>124</v>
      </c>
      <c r="M21" s="592" t="s">
        <v>128</v>
      </c>
      <c r="N21" s="43" t="s">
        <v>125</v>
      </c>
      <c r="O21" s="43" t="s">
        <v>134</v>
      </c>
      <c r="P21" s="102" t="s">
        <v>2</v>
      </c>
      <c r="Q21" s="550">
        <v>100</v>
      </c>
      <c r="R21" s="650">
        <f>Q21*K21*0.01</f>
        <v>1</v>
      </c>
      <c r="S21" s="651"/>
      <c r="T21" s="694"/>
      <c r="U21" s="90"/>
      <c r="V21" s="90"/>
      <c r="AA21" s="80" t="s">
        <v>381</v>
      </c>
      <c r="AB21" s="317" t="str">
        <f>N21&amp;" - "&amp;O21</f>
        <v>لا  - لم يتم تحديدها بشكل متكامل</v>
      </c>
      <c r="AC21" s="317" t="str">
        <f t="shared" si="1"/>
        <v>1-2-5-لا  - لم يتم تحديدها بشكل متكامل</v>
      </c>
      <c r="AD21" s="319">
        <f t="shared" si="0"/>
        <v>0</v>
      </c>
      <c r="AE21" s="320">
        <f>IF(AD21="","",AD21*$R$21)</f>
        <v>0</v>
      </c>
      <c r="AF21" s="320">
        <v>1</v>
      </c>
    </row>
    <row r="22" spans="1:32" ht="23.25" x14ac:dyDescent="0.5">
      <c r="A22" s="768"/>
      <c r="B22" s="770"/>
      <c r="C22" s="772"/>
      <c r="D22" s="714"/>
      <c r="E22" s="636"/>
      <c r="F22" s="636"/>
      <c r="G22" s="635"/>
      <c r="H22" s="636"/>
      <c r="I22" s="760"/>
      <c r="J22" s="765"/>
      <c r="K22" s="760"/>
      <c r="L22" s="592"/>
      <c r="M22" s="592"/>
      <c r="N22" s="43" t="s">
        <v>3</v>
      </c>
      <c r="O22" s="43" t="s">
        <v>135</v>
      </c>
      <c r="P22" s="103">
        <v>1</v>
      </c>
      <c r="Q22" s="550"/>
      <c r="R22" s="652"/>
      <c r="S22" s="652"/>
      <c r="T22" s="694"/>
      <c r="U22" s="90"/>
      <c r="V22" s="90"/>
      <c r="AA22" s="80" t="str">
        <f>AA21</f>
        <v>1-2-5</v>
      </c>
      <c r="AB22" s="317" t="str">
        <f>N22&amp;" - "&amp;O22</f>
        <v>نعم - تم تحديدها بشكل متكامل</v>
      </c>
      <c r="AC22" s="317" t="str">
        <f t="shared" si="1"/>
        <v>1-2-5-نعم - تم تحديدها بشكل متكامل</v>
      </c>
      <c r="AD22" s="319">
        <f t="shared" si="0"/>
        <v>1</v>
      </c>
      <c r="AE22" s="320">
        <f>IF(AD22="","",AD22*$R$21)</f>
        <v>1</v>
      </c>
      <c r="AF22" s="320">
        <v>1</v>
      </c>
    </row>
    <row r="23" spans="1:32" ht="23.25" x14ac:dyDescent="0.5">
      <c r="A23" s="768"/>
      <c r="B23" s="770"/>
      <c r="C23" s="772"/>
      <c r="D23" s="714"/>
      <c r="E23" s="96"/>
      <c r="F23" s="97"/>
      <c r="G23" s="98"/>
      <c r="H23" s="97"/>
      <c r="I23" s="92"/>
      <c r="J23" s="36"/>
      <c r="K23" s="92"/>
      <c r="L23" s="36"/>
      <c r="M23" s="39"/>
      <c r="N23" s="36"/>
      <c r="O23" s="39"/>
      <c r="P23" s="99"/>
      <c r="Q23" s="92"/>
      <c r="R23" s="97"/>
      <c r="S23" s="96"/>
      <c r="T23" s="694"/>
      <c r="U23" s="90"/>
      <c r="V23" s="90"/>
      <c r="AD23" s="319" t="str">
        <f t="shared" si="0"/>
        <v/>
      </c>
      <c r="AE23" s="320"/>
      <c r="AF23" s="320"/>
    </row>
    <row r="24" spans="1:32" ht="23.25" x14ac:dyDescent="0.5">
      <c r="A24" s="768"/>
      <c r="B24" s="770"/>
      <c r="C24" s="772"/>
      <c r="D24" s="714"/>
      <c r="E24" s="610">
        <v>3</v>
      </c>
      <c r="F24" s="610">
        <v>2</v>
      </c>
      <c r="G24" s="590" t="s">
        <v>138</v>
      </c>
      <c r="H24" s="645">
        <v>2</v>
      </c>
      <c r="I24" s="759">
        <v>1</v>
      </c>
      <c r="J24" s="559" t="s">
        <v>139</v>
      </c>
      <c r="K24" s="547">
        <v>2</v>
      </c>
      <c r="L24" s="545" t="s">
        <v>140</v>
      </c>
      <c r="M24" s="559" t="s">
        <v>141</v>
      </c>
      <c r="N24" s="104" t="s">
        <v>125</v>
      </c>
      <c r="O24" s="104" t="s">
        <v>142</v>
      </c>
      <c r="P24" s="105">
        <v>1</v>
      </c>
      <c r="Q24" s="550">
        <v>100</v>
      </c>
      <c r="R24" s="552">
        <f>Q24*K24*0.01</f>
        <v>2</v>
      </c>
      <c r="S24" s="731">
        <f>SUM(R24:R31)</f>
        <v>2</v>
      </c>
      <c r="T24" s="694"/>
      <c r="U24" s="90"/>
      <c r="V24" s="90"/>
      <c r="AA24" s="80" t="s">
        <v>382</v>
      </c>
      <c r="AB24" s="317" t="str">
        <f>N24&amp;" - "&amp;O24</f>
        <v>لا  - لم يتم التعديل عليها</v>
      </c>
      <c r="AC24" s="317" t="str">
        <f t="shared" si="1"/>
        <v>1-3-1-لا  - لم يتم التعديل عليها</v>
      </c>
      <c r="AD24" s="319">
        <f t="shared" si="0"/>
        <v>1</v>
      </c>
      <c r="AE24" s="320">
        <f>IF(AD24="","",AD24*$R$24)</f>
        <v>2</v>
      </c>
      <c r="AF24" s="320">
        <v>1</v>
      </c>
    </row>
    <row r="25" spans="1:32" ht="23.25" x14ac:dyDescent="0.5">
      <c r="A25" s="768"/>
      <c r="B25" s="770"/>
      <c r="C25" s="772"/>
      <c r="D25" s="714"/>
      <c r="E25" s="717"/>
      <c r="F25" s="717"/>
      <c r="G25" s="726"/>
      <c r="H25" s="699"/>
      <c r="I25" s="638"/>
      <c r="J25" s="608"/>
      <c r="K25" s="547"/>
      <c r="L25" s="545"/>
      <c r="M25" s="608"/>
      <c r="N25" s="44" t="s">
        <v>3</v>
      </c>
      <c r="O25" s="761" t="s">
        <v>14</v>
      </c>
      <c r="P25" s="762"/>
      <c r="Q25" s="550"/>
      <c r="R25" s="552"/>
      <c r="S25" s="668"/>
      <c r="T25" s="694"/>
      <c r="U25" s="90"/>
      <c r="V25" s="90"/>
      <c r="AA25" s="80" t="str">
        <f>AA24</f>
        <v>1-3-1</v>
      </c>
      <c r="AB25" s="317" t="str">
        <f>N25&amp;" - "&amp;O25</f>
        <v>نعم - يتم الانتقال إلى السؤال التالي</v>
      </c>
      <c r="AC25" s="317" t="str">
        <f t="shared" si="1"/>
        <v>1-3-1-نعم - يتم الانتقال إلى السؤال التالي</v>
      </c>
      <c r="AD25" s="319" t="str">
        <f t="shared" si="0"/>
        <v/>
      </c>
      <c r="AE25" s="320" t="s">
        <v>374</v>
      </c>
      <c r="AF25" s="320">
        <v>1</v>
      </c>
    </row>
    <row r="26" spans="1:32" ht="23.25" x14ac:dyDescent="0.5">
      <c r="A26" s="768"/>
      <c r="B26" s="770"/>
      <c r="C26" s="772"/>
      <c r="D26" s="714"/>
      <c r="E26" s="717"/>
      <c r="F26" s="717"/>
      <c r="G26" s="726"/>
      <c r="H26" s="699"/>
      <c r="I26" s="92"/>
      <c r="J26" s="36"/>
      <c r="K26" s="547"/>
      <c r="L26" s="39"/>
      <c r="M26" s="36"/>
      <c r="N26" s="39"/>
      <c r="O26" s="36"/>
      <c r="P26" s="93"/>
      <c r="Q26" s="550"/>
      <c r="R26" s="552"/>
      <c r="S26" s="668"/>
      <c r="T26" s="694"/>
      <c r="U26" s="90"/>
      <c r="V26" s="90"/>
      <c r="AD26" s="319" t="str">
        <f t="shared" si="0"/>
        <v/>
      </c>
      <c r="AE26" s="320"/>
      <c r="AF26" s="320"/>
    </row>
    <row r="27" spans="1:32" ht="23.25" x14ac:dyDescent="0.5">
      <c r="A27" s="768"/>
      <c r="B27" s="770"/>
      <c r="C27" s="772"/>
      <c r="D27" s="714"/>
      <c r="E27" s="717"/>
      <c r="F27" s="717"/>
      <c r="G27" s="726"/>
      <c r="H27" s="699"/>
      <c r="I27" s="759">
        <v>2</v>
      </c>
      <c r="J27" s="559" t="s">
        <v>143</v>
      </c>
      <c r="K27" s="547"/>
      <c r="L27" s="545" t="s">
        <v>140</v>
      </c>
      <c r="M27" s="559" t="s">
        <v>144</v>
      </c>
      <c r="N27" s="44" t="s">
        <v>125</v>
      </c>
      <c r="O27" s="44" t="s">
        <v>145</v>
      </c>
      <c r="P27" s="95" t="s">
        <v>2</v>
      </c>
      <c r="Q27" s="550"/>
      <c r="R27" s="552"/>
      <c r="S27" s="668"/>
      <c r="T27" s="694"/>
      <c r="U27" s="90"/>
      <c r="V27" s="90"/>
      <c r="AA27" s="80" t="s">
        <v>383</v>
      </c>
      <c r="AB27" s="317" t="str">
        <f>N27&amp;" - "&amp;O27</f>
        <v>لا  - لم يتم ذلك</v>
      </c>
      <c r="AC27" s="317" t="str">
        <f t="shared" si="1"/>
        <v>1-3-2-لا  - لم يتم ذلك</v>
      </c>
      <c r="AD27" s="319">
        <f t="shared" si="0"/>
        <v>0</v>
      </c>
      <c r="AE27" s="320">
        <f>IF(AD27="","",AD27*$R$24)</f>
        <v>0</v>
      </c>
      <c r="AF27" s="320">
        <v>1</v>
      </c>
    </row>
    <row r="28" spans="1:32" ht="23.25" x14ac:dyDescent="0.5">
      <c r="A28" s="768"/>
      <c r="B28" s="770"/>
      <c r="C28" s="772"/>
      <c r="D28" s="714"/>
      <c r="E28" s="717"/>
      <c r="F28" s="717"/>
      <c r="G28" s="726"/>
      <c r="H28" s="699"/>
      <c r="I28" s="638"/>
      <c r="J28" s="608"/>
      <c r="K28" s="547"/>
      <c r="L28" s="545"/>
      <c r="M28" s="608"/>
      <c r="N28" s="44" t="s">
        <v>3</v>
      </c>
      <c r="O28" s="761" t="s">
        <v>14</v>
      </c>
      <c r="P28" s="762"/>
      <c r="Q28" s="550"/>
      <c r="R28" s="552"/>
      <c r="S28" s="668"/>
      <c r="T28" s="694"/>
      <c r="U28" s="90"/>
      <c r="V28" s="90"/>
      <c r="AA28" s="80" t="str">
        <f>AA27</f>
        <v>1-3-2</v>
      </c>
      <c r="AB28" s="317" t="str">
        <f>N28&amp;" - "&amp;O28</f>
        <v>نعم - يتم الانتقال إلى السؤال التالي</v>
      </c>
      <c r="AC28" s="317" t="str">
        <f t="shared" si="1"/>
        <v>1-3-2-نعم - يتم الانتقال إلى السؤال التالي</v>
      </c>
      <c r="AD28" s="319" t="str">
        <f t="shared" si="0"/>
        <v/>
      </c>
      <c r="AE28" s="320" t="s">
        <v>374</v>
      </c>
      <c r="AF28" s="320">
        <v>1</v>
      </c>
    </row>
    <row r="29" spans="1:32" ht="23.25" x14ac:dyDescent="0.5">
      <c r="A29" s="768"/>
      <c r="B29" s="770"/>
      <c r="C29" s="772"/>
      <c r="D29" s="714"/>
      <c r="E29" s="717"/>
      <c r="F29" s="717"/>
      <c r="G29" s="726"/>
      <c r="H29" s="699"/>
      <c r="I29" s="92"/>
      <c r="J29" s="36"/>
      <c r="K29" s="547"/>
      <c r="L29" s="39"/>
      <c r="M29" s="36"/>
      <c r="N29" s="39"/>
      <c r="O29" s="36"/>
      <c r="P29" s="93"/>
      <c r="Q29" s="550"/>
      <c r="R29" s="552"/>
      <c r="S29" s="668"/>
      <c r="T29" s="694"/>
      <c r="U29" s="90"/>
      <c r="V29" s="90"/>
      <c r="AD29" s="319" t="str">
        <f t="shared" si="0"/>
        <v/>
      </c>
      <c r="AE29" s="320" t="s">
        <v>374</v>
      </c>
      <c r="AF29" s="320"/>
    </row>
    <row r="30" spans="1:32" ht="23.25" x14ac:dyDescent="0.5">
      <c r="A30" s="768"/>
      <c r="B30" s="770"/>
      <c r="C30" s="772"/>
      <c r="D30" s="714"/>
      <c r="E30" s="717"/>
      <c r="F30" s="717"/>
      <c r="G30" s="726"/>
      <c r="H30" s="699"/>
      <c r="I30" s="759">
        <v>3</v>
      </c>
      <c r="J30" s="559" t="s">
        <v>146</v>
      </c>
      <c r="K30" s="547"/>
      <c r="L30" s="545" t="s">
        <v>140</v>
      </c>
      <c r="M30" s="559" t="s">
        <v>147</v>
      </c>
      <c r="N30" s="44" t="s">
        <v>125</v>
      </c>
      <c r="O30" s="44" t="s">
        <v>148</v>
      </c>
      <c r="P30" s="95" t="s">
        <v>2</v>
      </c>
      <c r="Q30" s="550"/>
      <c r="R30" s="552"/>
      <c r="S30" s="668"/>
      <c r="T30" s="694"/>
      <c r="U30" s="90"/>
      <c r="V30" s="90"/>
      <c r="AA30" s="80" t="s">
        <v>384</v>
      </c>
      <c r="AB30" s="317" t="str">
        <f>N30&amp;" - "&amp;O30</f>
        <v>لا  - لا توجد موافقة</v>
      </c>
      <c r="AC30" s="317" t="str">
        <f t="shared" si="1"/>
        <v>1-3-3-لا  - لا توجد موافقة</v>
      </c>
      <c r="AD30" s="319">
        <f t="shared" si="0"/>
        <v>0</v>
      </c>
      <c r="AE30" s="320">
        <f>IF(AD30="","",AD30*$R$24)</f>
        <v>0</v>
      </c>
      <c r="AF30" s="320">
        <v>1</v>
      </c>
    </row>
    <row r="31" spans="1:32" ht="24" thickBot="1" x14ac:dyDescent="0.55000000000000004">
      <c r="A31" s="769"/>
      <c r="B31" s="771"/>
      <c r="C31" s="773"/>
      <c r="D31" s="715"/>
      <c r="E31" s="718"/>
      <c r="F31" s="718"/>
      <c r="G31" s="727"/>
      <c r="H31" s="700"/>
      <c r="I31" s="763"/>
      <c r="J31" s="764"/>
      <c r="K31" s="548"/>
      <c r="L31" s="546"/>
      <c r="M31" s="764"/>
      <c r="N31" s="45" t="s">
        <v>3</v>
      </c>
      <c r="O31" s="45" t="s">
        <v>149</v>
      </c>
      <c r="P31" s="106">
        <v>1</v>
      </c>
      <c r="Q31" s="550"/>
      <c r="R31" s="552"/>
      <c r="S31" s="692"/>
      <c r="T31" s="695"/>
      <c r="U31" s="90"/>
      <c r="V31" s="90"/>
      <c r="AA31" s="80" t="str">
        <f>AA30</f>
        <v>1-3-3</v>
      </c>
      <c r="AB31" s="317" t="str">
        <f>N31&amp;" - "&amp;O31</f>
        <v>نعم - توجد موافقة</v>
      </c>
      <c r="AC31" s="317" t="str">
        <f t="shared" si="1"/>
        <v>1-3-3-نعم - توجد موافقة</v>
      </c>
      <c r="AD31" s="319">
        <f t="shared" si="0"/>
        <v>1</v>
      </c>
      <c r="AE31" s="320">
        <f>IF(AD31="","",AD31*$R$24)</f>
        <v>2</v>
      </c>
      <c r="AF31" s="320">
        <v>1</v>
      </c>
    </row>
    <row r="32" spans="1:32" ht="37.5" thickBot="1" x14ac:dyDescent="0.55000000000000004">
      <c r="A32" s="107"/>
      <c r="B32" s="358"/>
      <c r="C32" s="107"/>
      <c r="D32" s="108"/>
      <c r="E32" s="109"/>
      <c r="F32" s="110"/>
      <c r="G32" s="111"/>
      <c r="H32" s="110"/>
      <c r="I32" s="112"/>
      <c r="J32" s="37"/>
      <c r="K32" s="112"/>
      <c r="L32" s="37"/>
      <c r="M32" s="38"/>
      <c r="N32" s="37"/>
      <c r="O32" s="38"/>
      <c r="P32" s="113"/>
      <c r="Q32" s="112"/>
      <c r="R32" s="110"/>
      <c r="S32" s="109"/>
      <c r="T32" s="110"/>
      <c r="U32" s="114"/>
      <c r="V32" s="114"/>
      <c r="AD32" s="319" t="str">
        <f t="shared" si="0"/>
        <v/>
      </c>
      <c r="AE32" s="320"/>
      <c r="AF32" s="320"/>
    </row>
    <row r="33" spans="1:32" ht="23.25" x14ac:dyDescent="0.5">
      <c r="A33" s="750" t="s">
        <v>150</v>
      </c>
      <c r="B33" s="753">
        <v>2</v>
      </c>
      <c r="C33" s="756" t="s">
        <v>151</v>
      </c>
      <c r="D33" s="621">
        <v>0.35</v>
      </c>
      <c r="E33" s="681">
        <v>4</v>
      </c>
      <c r="F33" s="681">
        <v>2</v>
      </c>
      <c r="G33" s="627" t="s">
        <v>152</v>
      </c>
      <c r="H33" s="629">
        <v>2</v>
      </c>
      <c r="I33" s="594">
        <v>1</v>
      </c>
      <c r="J33" s="591" t="s">
        <v>153</v>
      </c>
      <c r="K33" s="594">
        <v>1</v>
      </c>
      <c r="L33" s="591" t="s">
        <v>124</v>
      </c>
      <c r="M33" s="591" t="s">
        <v>154</v>
      </c>
      <c r="N33" s="115" t="s">
        <v>125</v>
      </c>
      <c r="O33" s="51" t="s">
        <v>155</v>
      </c>
      <c r="P33" s="116" t="s">
        <v>2</v>
      </c>
      <c r="Q33" s="549">
        <v>100</v>
      </c>
      <c r="R33" s="597">
        <f>Q33*K33*0.01</f>
        <v>1</v>
      </c>
      <c r="S33" s="749">
        <f>SUM(R33:R40)</f>
        <v>2</v>
      </c>
      <c r="T33" s="723">
        <f>SUM(S33:S103)</f>
        <v>35</v>
      </c>
      <c r="U33" s="90"/>
      <c r="V33" s="90"/>
      <c r="AA33" s="80" t="s">
        <v>385</v>
      </c>
      <c r="AB33" s="317" t="str">
        <f>N33&amp;" - "&amp;O33</f>
        <v>لا  - لا يتكون المجلس من ثلاثة أعضاء أو أكثر .</v>
      </c>
      <c r="AC33" s="317" t="str">
        <f t="shared" si="1"/>
        <v>2-4-1-لا  - لا يتكون المجلس من ثلاثة أعضاء أو أكثر .</v>
      </c>
      <c r="AD33" s="319">
        <f t="shared" si="0"/>
        <v>0</v>
      </c>
      <c r="AE33" s="320">
        <f>IF(AD33="","",AD33*$R$33)</f>
        <v>0</v>
      </c>
      <c r="AF33" s="320">
        <v>1</v>
      </c>
    </row>
    <row r="34" spans="1:32" ht="23.25" x14ac:dyDescent="0.5">
      <c r="A34" s="751"/>
      <c r="B34" s="754"/>
      <c r="C34" s="757"/>
      <c r="D34" s="622"/>
      <c r="E34" s="682"/>
      <c r="F34" s="682"/>
      <c r="G34" s="628"/>
      <c r="H34" s="630"/>
      <c r="I34" s="595"/>
      <c r="J34" s="592"/>
      <c r="K34" s="595"/>
      <c r="L34" s="592"/>
      <c r="M34" s="592"/>
      <c r="N34" s="48" t="s">
        <v>3</v>
      </c>
      <c r="O34" s="43" t="s">
        <v>156</v>
      </c>
      <c r="P34" s="103">
        <v>1</v>
      </c>
      <c r="Q34" s="550"/>
      <c r="R34" s="598"/>
      <c r="S34" s="677"/>
      <c r="T34" s="724"/>
      <c r="U34" s="90"/>
      <c r="V34" s="90"/>
      <c r="AA34" s="80" t="str">
        <f>AA33</f>
        <v>2-4-1</v>
      </c>
      <c r="AB34" s="317" t="str">
        <f>N34&amp;" - "&amp;O34</f>
        <v>نعم - يتكون المجلس من ثلاثة أعضاء أو أكثر .</v>
      </c>
      <c r="AC34" s="317" t="str">
        <f t="shared" si="1"/>
        <v>2-4-1-نعم - يتكون المجلس من ثلاثة أعضاء أو أكثر .</v>
      </c>
      <c r="AD34" s="319">
        <f t="shared" si="0"/>
        <v>1</v>
      </c>
      <c r="AE34" s="320">
        <f>IF(AD34="","",AD34*$R$33)</f>
        <v>1</v>
      </c>
      <c r="AF34" s="320">
        <v>1</v>
      </c>
    </row>
    <row r="35" spans="1:32" ht="23.25" x14ac:dyDescent="0.5">
      <c r="A35" s="751"/>
      <c r="B35" s="754"/>
      <c r="C35" s="757"/>
      <c r="D35" s="622"/>
      <c r="E35" s="682"/>
      <c r="F35" s="682"/>
      <c r="G35" s="628"/>
      <c r="H35" s="630"/>
      <c r="I35" s="92"/>
      <c r="J35" s="36"/>
      <c r="K35" s="92"/>
      <c r="L35" s="36"/>
      <c r="M35" s="39"/>
      <c r="N35" s="36"/>
      <c r="O35" s="39"/>
      <c r="P35" s="99"/>
      <c r="Q35" s="92"/>
      <c r="R35" s="97"/>
      <c r="S35" s="677"/>
      <c r="T35" s="724"/>
      <c r="U35" s="90"/>
      <c r="V35" s="90"/>
      <c r="AD35" s="319" t="str">
        <f t="shared" si="0"/>
        <v/>
      </c>
      <c r="AE35" s="320"/>
      <c r="AF35" s="320"/>
    </row>
    <row r="36" spans="1:32" ht="41.45" customHeight="1" x14ac:dyDescent="0.5">
      <c r="A36" s="751"/>
      <c r="B36" s="754"/>
      <c r="C36" s="757"/>
      <c r="D36" s="622"/>
      <c r="E36" s="682"/>
      <c r="F36" s="682"/>
      <c r="G36" s="628"/>
      <c r="H36" s="630"/>
      <c r="I36" s="595">
        <v>2</v>
      </c>
      <c r="J36" s="592" t="s">
        <v>157</v>
      </c>
      <c r="K36" s="595">
        <v>1</v>
      </c>
      <c r="L36" s="592" t="s">
        <v>158</v>
      </c>
      <c r="M36" s="592" t="s">
        <v>159</v>
      </c>
      <c r="N36" s="117" t="s">
        <v>125</v>
      </c>
      <c r="O36" s="104" t="s">
        <v>160</v>
      </c>
      <c r="P36" s="105">
        <v>1</v>
      </c>
      <c r="Q36" s="550">
        <v>100</v>
      </c>
      <c r="R36" s="598">
        <f>Q36*K36*0.01</f>
        <v>1</v>
      </c>
      <c r="S36" s="677"/>
      <c r="T36" s="724"/>
      <c r="U36" s="90"/>
      <c r="V36" s="90"/>
      <c r="AA36" s="80" t="s">
        <v>386</v>
      </c>
      <c r="AB36" s="317" t="str">
        <f>N36&amp;" - "&amp;O36</f>
        <v>لا  - لم يتم إجراء تعديلات</v>
      </c>
      <c r="AC36" s="317" t="str">
        <f t="shared" si="1"/>
        <v>2-4-2-لا  - لم يتم إجراء تعديلات</v>
      </c>
      <c r="AD36" s="319">
        <f t="shared" si="0"/>
        <v>1</v>
      </c>
      <c r="AE36" s="320">
        <f>IF(AD36="","",AD36*$R$36)</f>
        <v>1</v>
      </c>
      <c r="AF36" s="320">
        <v>1</v>
      </c>
    </row>
    <row r="37" spans="1:32" ht="41.45" customHeight="1" x14ac:dyDescent="0.5">
      <c r="A37" s="751"/>
      <c r="B37" s="754"/>
      <c r="C37" s="757"/>
      <c r="D37" s="622"/>
      <c r="E37" s="682"/>
      <c r="F37" s="682"/>
      <c r="G37" s="628" t="s">
        <v>161</v>
      </c>
      <c r="H37" s="630"/>
      <c r="I37" s="595"/>
      <c r="J37" s="592"/>
      <c r="K37" s="595"/>
      <c r="L37" s="592"/>
      <c r="M37" s="592"/>
      <c r="N37" s="48" t="s">
        <v>3</v>
      </c>
      <c r="O37" s="747" t="s">
        <v>14</v>
      </c>
      <c r="P37" s="748"/>
      <c r="Q37" s="550"/>
      <c r="R37" s="598"/>
      <c r="S37" s="677"/>
      <c r="T37" s="724"/>
      <c r="U37" s="90"/>
      <c r="V37" s="90"/>
      <c r="AA37" s="80" t="str">
        <f>AA36</f>
        <v>2-4-2</v>
      </c>
      <c r="AB37" s="317" t="str">
        <f>N37&amp;" - "&amp;O37</f>
        <v>نعم - يتم الانتقال إلى السؤال التالي</v>
      </c>
      <c r="AC37" s="317" t="str">
        <f t="shared" si="1"/>
        <v>2-4-2-نعم - يتم الانتقال إلى السؤال التالي</v>
      </c>
      <c r="AD37" s="319" t="str">
        <f t="shared" si="0"/>
        <v/>
      </c>
      <c r="AE37" s="320" t="s">
        <v>374</v>
      </c>
      <c r="AF37" s="320">
        <v>1</v>
      </c>
    </row>
    <row r="38" spans="1:32" ht="23.25" x14ac:dyDescent="0.5">
      <c r="A38" s="751"/>
      <c r="B38" s="754"/>
      <c r="C38" s="757"/>
      <c r="D38" s="622"/>
      <c r="E38" s="682"/>
      <c r="F38" s="682"/>
      <c r="G38" s="628"/>
      <c r="H38" s="630"/>
      <c r="I38" s="92"/>
      <c r="J38" s="36"/>
      <c r="K38" s="595"/>
      <c r="L38" s="39"/>
      <c r="M38" s="36"/>
      <c r="N38" s="39"/>
      <c r="O38" s="36"/>
      <c r="P38" s="93"/>
      <c r="Q38" s="550"/>
      <c r="R38" s="598"/>
      <c r="S38" s="677"/>
      <c r="T38" s="724"/>
      <c r="U38" s="90"/>
      <c r="V38" s="90"/>
      <c r="AD38" s="319" t="str">
        <f t="shared" si="0"/>
        <v/>
      </c>
      <c r="AE38" s="320"/>
      <c r="AF38" s="320"/>
    </row>
    <row r="39" spans="1:32" ht="23.25" x14ac:dyDescent="0.5">
      <c r="A39" s="751"/>
      <c r="B39" s="754"/>
      <c r="C39" s="757"/>
      <c r="D39" s="622"/>
      <c r="E39" s="682"/>
      <c r="F39" s="682"/>
      <c r="G39" s="628"/>
      <c r="H39" s="630"/>
      <c r="I39" s="595">
        <v>3</v>
      </c>
      <c r="J39" s="592" t="s">
        <v>162</v>
      </c>
      <c r="K39" s="595"/>
      <c r="L39" s="592" t="s">
        <v>158</v>
      </c>
      <c r="M39" s="592" t="s">
        <v>163</v>
      </c>
      <c r="N39" s="48" t="s">
        <v>125</v>
      </c>
      <c r="O39" s="43" t="s">
        <v>164</v>
      </c>
      <c r="P39" s="101" t="s">
        <v>2</v>
      </c>
      <c r="Q39" s="550"/>
      <c r="R39" s="598"/>
      <c r="S39" s="677"/>
      <c r="T39" s="724"/>
      <c r="U39" s="90"/>
      <c r="V39" s="90"/>
      <c r="AA39" s="80" t="s">
        <v>387</v>
      </c>
      <c r="AB39" s="317" t="str">
        <f>N39&amp;" - "&amp;O39</f>
        <v>لا  - لم يتم ابلاغ الوزارة</v>
      </c>
      <c r="AC39" s="317" t="str">
        <f t="shared" si="1"/>
        <v>2-4-3-لا  - لم يتم ابلاغ الوزارة</v>
      </c>
      <c r="AD39" s="319">
        <f t="shared" si="0"/>
        <v>0</v>
      </c>
      <c r="AE39" s="320">
        <f>IF(AD39="","",AD39*$R$36)</f>
        <v>0</v>
      </c>
      <c r="AF39" s="320">
        <v>1</v>
      </c>
    </row>
    <row r="40" spans="1:32" ht="23.25" x14ac:dyDescent="0.5">
      <c r="A40" s="751"/>
      <c r="B40" s="754"/>
      <c r="C40" s="757"/>
      <c r="D40" s="622"/>
      <c r="E40" s="683"/>
      <c r="F40" s="683"/>
      <c r="G40" s="628"/>
      <c r="H40" s="630"/>
      <c r="I40" s="595"/>
      <c r="J40" s="592"/>
      <c r="K40" s="595"/>
      <c r="L40" s="592"/>
      <c r="M40" s="592"/>
      <c r="N40" s="48" t="s">
        <v>3</v>
      </c>
      <c r="O40" s="118" t="s">
        <v>165</v>
      </c>
      <c r="P40" s="101">
        <v>1</v>
      </c>
      <c r="Q40" s="550"/>
      <c r="R40" s="598"/>
      <c r="S40" s="735"/>
      <c r="T40" s="724"/>
      <c r="U40" s="90"/>
      <c r="V40" s="90"/>
      <c r="AA40" s="80" t="str">
        <f>AA39</f>
        <v>2-4-3</v>
      </c>
      <c r="AB40" s="317" t="str">
        <f>N40&amp;" - "&amp;O40</f>
        <v>نعم - تم إبلاغ الوزارة</v>
      </c>
      <c r="AC40" s="317" t="str">
        <f t="shared" si="1"/>
        <v>2-4-3-نعم - تم إبلاغ الوزارة</v>
      </c>
      <c r="AD40" s="319">
        <f t="shared" si="0"/>
        <v>1</v>
      </c>
      <c r="AE40" s="320">
        <f>IF(AD40="","",AD40*$R$36)</f>
        <v>1</v>
      </c>
      <c r="AF40" s="320">
        <v>1</v>
      </c>
    </row>
    <row r="41" spans="1:32" ht="23.25" x14ac:dyDescent="0.5">
      <c r="A41" s="751"/>
      <c r="B41" s="754"/>
      <c r="C41" s="757"/>
      <c r="D41" s="622"/>
      <c r="E41" s="96"/>
      <c r="F41" s="97"/>
      <c r="G41" s="98"/>
      <c r="H41" s="97"/>
      <c r="I41" s="92"/>
      <c r="J41" s="36"/>
      <c r="K41" s="92"/>
      <c r="L41" s="36"/>
      <c r="M41" s="39"/>
      <c r="N41" s="36"/>
      <c r="O41" s="39"/>
      <c r="P41" s="99"/>
      <c r="Q41" s="92"/>
      <c r="R41" s="97"/>
      <c r="S41" s="96"/>
      <c r="T41" s="724"/>
      <c r="U41" s="90"/>
      <c r="V41" s="90"/>
      <c r="AD41" s="319" t="str">
        <f t="shared" si="0"/>
        <v/>
      </c>
      <c r="AE41" s="320"/>
      <c r="AF41" s="320"/>
    </row>
    <row r="42" spans="1:32" ht="23.25" x14ac:dyDescent="0.5">
      <c r="A42" s="751"/>
      <c r="B42" s="754"/>
      <c r="C42" s="757"/>
      <c r="D42" s="622"/>
      <c r="E42" s="684">
        <v>5</v>
      </c>
      <c r="F42" s="684">
        <v>1</v>
      </c>
      <c r="G42" s="628" t="s">
        <v>166</v>
      </c>
      <c r="H42" s="630">
        <v>1</v>
      </c>
      <c r="I42" s="543">
        <v>1</v>
      </c>
      <c r="J42" s="545" t="s">
        <v>167</v>
      </c>
      <c r="K42" s="547">
        <v>1</v>
      </c>
      <c r="L42" s="545" t="s">
        <v>124</v>
      </c>
      <c r="M42" s="545" t="s">
        <v>168</v>
      </c>
      <c r="N42" s="117" t="s">
        <v>125</v>
      </c>
      <c r="O42" s="117" t="s">
        <v>169</v>
      </c>
      <c r="P42" s="119" t="s">
        <v>2</v>
      </c>
      <c r="Q42" s="550">
        <v>100</v>
      </c>
      <c r="R42" s="722">
        <f>Q42*K42*0.01</f>
        <v>1</v>
      </c>
      <c r="S42" s="732">
        <f>R42</f>
        <v>1</v>
      </c>
      <c r="T42" s="724"/>
      <c r="U42" s="90"/>
      <c r="V42" s="90"/>
      <c r="AA42" s="80" t="s">
        <v>388</v>
      </c>
      <c r="AB42" s="317" t="str">
        <f>N42&amp;" - "&amp;O42</f>
        <v>لا  - لا تتحقق</v>
      </c>
      <c r="AC42" s="317" t="str">
        <f t="shared" si="1"/>
        <v>2-5-1-لا  - لا تتحقق</v>
      </c>
      <c r="AD42" s="319">
        <f t="shared" si="0"/>
        <v>0</v>
      </c>
      <c r="AE42" s="320">
        <f>IF(AD42="","",AD42*$R$42)</f>
        <v>0</v>
      </c>
      <c r="AF42" s="320">
        <v>1</v>
      </c>
    </row>
    <row r="43" spans="1:32" ht="23.25" x14ac:dyDescent="0.5">
      <c r="A43" s="751"/>
      <c r="B43" s="754"/>
      <c r="C43" s="757"/>
      <c r="D43" s="622"/>
      <c r="E43" s="682"/>
      <c r="F43" s="682"/>
      <c r="G43" s="628"/>
      <c r="H43" s="630"/>
      <c r="I43" s="543"/>
      <c r="J43" s="545"/>
      <c r="K43" s="547"/>
      <c r="L43" s="545"/>
      <c r="M43" s="545"/>
      <c r="N43" s="564" t="s">
        <v>3</v>
      </c>
      <c r="O43" s="120" t="s">
        <v>170</v>
      </c>
      <c r="P43" s="121">
        <v>0.5</v>
      </c>
      <c r="Q43" s="550"/>
      <c r="R43" s="722"/>
      <c r="S43" s="702"/>
      <c r="T43" s="724"/>
      <c r="U43" s="90"/>
      <c r="V43" s="90"/>
      <c r="AA43" s="80" t="str">
        <f>AA42</f>
        <v>2-5-1</v>
      </c>
      <c r="AB43" s="317" t="str">
        <f>N43&amp;" - "&amp;O43</f>
        <v>نعم - تتحقق بشكل جزئي</v>
      </c>
      <c r="AC43" s="317" t="str">
        <f t="shared" si="1"/>
        <v>2-5-1-نعم - تتحقق بشكل جزئي</v>
      </c>
      <c r="AD43" s="319">
        <f t="shared" si="0"/>
        <v>0.5</v>
      </c>
      <c r="AE43" s="320">
        <f>IF(AD43="","",AD43*$R$42)</f>
        <v>0.5</v>
      </c>
      <c r="AF43" s="320">
        <v>1</v>
      </c>
    </row>
    <row r="44" spans="1:32" ht="23.25" x14ac:dyDescent="0.5">
      <c r="A44" s="751"/>
      <c r="B44" s="754"/>
      <c r="C44" s="757"/>
      <c r="D44" s="622"/>
      <c r="E44" s="683"/>
      <c r="F44" s="683"/>
      <c r="G44" s="628"/>
      <c r="H44" s="630"/>
      <c r="I44" s="543"/>
      <c r="J44" s="545"/>
      <c r="K44" s="547"/>
      <c r="L44" s="545"/>
      <c r="M44" s="545"/>
      <c r="N44" s="564"/>
      <c r="O44" s="120" t="s">
        <v>171</v>
      </c>
      <c r="P44" s="121">
        <v>1</v>
      </c>
      <c r="Q44" s="550"/>
      <c r="R44" s="722"/>
      <c r="S44" s="703"/>
      <c r="T44" s="724"/>
      <c r="U44" s="90"/>
      <c r="V44" s="90"/>
      <c r="AA44" s="80" t="str">
        <f>AA43</f>
        <v>2-5-1</v>
      </c>
      <c r="AB44" s="317" t="str">
        <f>N43&amp;" - "&amp;O44</f>
        <v>نعم - تتحقق بشكل متكامل</v>
      </c>
      <c r="AC44" s="317" t="str">
        <f t="shared" si="1"/>
        <v>2-5-1-نعم - تتحقق بشكل متكامل</v>
      </c>
      <c r="AD44" s="319">
        <f t="shared" si="0"/>
        <v>1</v>
      </c>
      <c r="AE44" s="320">
        <f>IF(AD44="","",AD44*$R$42)</f>
        <v>1</v>
      </c>
      <c r="AF44" s="320">
        <v>1</v>
      </c>
    </row>
    <row r="45" spans="1:32" ht="23.25" x14ac:dyDescent="0.5">
      <c r="A45" s="751"/>
      <c r="B45" s="754"/>
      <c r="C45" s="757"/>
      <c r="D45" s="622"/>
      <c r="E45" s="96"/>
      <c r="F45" s="97"/>
      <c r="G45" s="98"/>
      <c r="H45" s="97"/>
      <c r="I45" s="92"/>
      <c r="J45" s="36"/>
      <c r="K45" s="92"/>
      <c r="L45" s="36"/>
      <c r="M45" s="39"/>
      <c r="N45" s="36"/>
      <c r="O45" s="39"/>
      <c r="P45" s="99"/>
      <c r="Q45" s="92"/>
      <c r="R45" s="97"/>
      <c r="S45" s="96"/>
      <c r="T45" s="724"/>
      <c r="U45" s="90"/>
      <c r="V45" s="90"/>
      <c r="AD45" s="319" t="str">
        <f t="shared" si="0"/>
        <v/>
      </c>
      <c r="AE45" s="320"/>
      <c r="AF45" s="320"/>
    </row>
    <row r="46" spans="1:32" ht="23.25" x14ac:dyDescent="0.5">
      <c r="A46" s="751"/>
      <c r="B46" s="754"/>
      <c r="C46" s="757"/>
      <c r="D46" s="622"/>
      <c r="E46" s="684">
        <v>6</v>
      </c>
      <c r="F46" s="684">
        <v>4</v>
      </c>
      <c r="G46" s="737" t="s">
        <v>172</v>
      </c>
      <c r="H46" s="630">
        <v>4</v>
      </c>
      <c r="I46" s="740">
        <v>1</v>
      </c>
      <c r="J46" s="592" t="s">
        <v>173</v>
      </c>
      <c r="K46" s="595">
        <v>2</v>
      </c>
      <c r="L46" s="592" t="s">
        <v>124</v>
      </c>
      <c r="M46" s="592" t="s">
        <v>174</v>
      </c>
      <c r="N46" s="48" t="s">
        <v>125</v>
      </c>
      <c r="O46" s="118" t="s">
        <v>175</v>
      </c>
      <c r="P46" s="122" t="s">
        <v>2</v>
      </c>
      <c r="Q46" s="550">
        <v>100</v>
      </c>
      <c r="R46" s="598">
        <f>Q46*K46*0.01</f>
        <v>2</v>
      </c>
      <c r="S46" s="741">
        <f>SUM(R46:R57)</f>
        <v>4</v>
      </c>
      <c r="T46" s="724"/>
      <c r="U46" s="90"/>
      <c r="V46" s="90"/>
      <c r="AA46" s="80" t="s">
        <v>389</v>
      </c>
      <c r="AB46" s="317" t="str">
        <f>N46&amp;" - "&amp;O46</f>
        <v>لا  - لم يتم تحديد رئيساً للمجلس</v>
      </c>
      <c r="AC46" s="317" t="str">
        <f t="shared" si="1"/>
        <v>2-6-1-لا  - لم يتم تحديد رئيساً للمجلس</v>
      </c>
      <c r="AD46" s="319">
        <f t="shared" si="0"/>
        <v>0</v>
      </c>
      <c r="AE46" s="320">
        <f>IF(AD46="","",AD46*$R$46)</f>
        <v>0</v>
      </c>
      <c r="AF46" s="320">
        <v>1</v>
      </c>
    </row>
    <row r="47" spans="1:32" ht="23.25" x14ac:dyDescent="0.5">
      <c r="A47" s="751"/>
      <c r="B47" s="754"/>
      <c r="C47" s="757"/>
      <c r="D47" s="622"/>
      <c r="E47" s="682"/>
      <c r="F47" s="682"/>
      <c r="G47" s="738"/>
      <c r="H47" s="630"/>
      <c r="I47" s="740"/>
      <c r="J47" s="592"/>
      <c r="K47" s="595"/>
      <c r="L47" s="592"/>
      <c r="M47" s="592"/>
      <c r="N47" s="48" t="s">
        <v>3</v>
      </c>
      <c r="O47" s="118" t="s">
        <v>176</v>
      </c>
      <c r="P47" s="123">
        <v>1</v>
      </c>
      <c r="Q47" s="550"/>
      <c r="R47" s="598"/>
      <c r="S47" s="742"/>
      <c r="T47" s="724"/>
      <c r="U47" s="90"/>
      <c r="V47" s="90"/>
      <c r="AA47" s="80" t="str">
        <f>AA46</f>
        <v>2-6-1</v>
      </c>
      <c r="AB47" s="317" t="str">
        <f>N47&amp;" - "&amp;O47</f>
        <v>نعم - تم تحديد رئيساً للمجلس</v>
      </c>
      <c r="AC47" s="317" t="str">
        <f t="shared" si="1"/>
        <v>2-6-1-نعم - تم تحديد رئيساً للمجلس</v>
      </c>
      <c r="AD47" s="319">
        <f t="shared" si="0"/>
        <v>1</v>
      </c>
      <c r="AE47" s="320">
        <f>IF(AD47="","",AD47*$R$46)</f>
        <v>2</v>
      </c>
      <c r="AF47" s="320">
        <v>1</v>
      </c>
    </row>
    <row r="48" spans="1:32" ht="23.25" x14ac:dyDescent="0.5">
      <c r="A48" s="751"/>
      <c r="B48" s="754"/>
      <c r="C48" s="757"/>
      <c r="D48" s="622"/>
      <c r="E48" s="682"/>
      <c r="F48" s="682"/>
      <c r="G48" s="739"/>
      <c r="H48" s="630"/>
      <c r="I48" s="92"/>
      <c r="J48" s="36"/>
      <c r="K48" s="92"/>
      <c r="L48" s="36"/>
      <c r="M48" s="39"/>
      <c r="N48" s="36"/>
      <c r="O48" s="39"/>
      <c r="P48" s="99"/>
      <c r="Q48" s="92"/>
      <c r="R48" s="97"/>
      <c r="S48" s="742"/>
      <c r="T48" s="724"/>
      <c r="U48" s="90"/>
      <c r="V48" s="90"/>
      <c r="AD48" s="319" t="str">
        <f t="shared" si="0"/>
        <v/>
      </c>
      <c r="AE48" s="320" t="str">
        <f t="shared" ref="AE48" si="2">IF(AD48="","",AD48*$R$42)</f>
        <v/>
      </c>
      <c r="AF48" s="320"/>
    </row>
    <row r="49" spans="1:32" ht="23.25" x14ac:dyDescent="0.5">
      <c r="A49" s="751"/>
      <c r="B49" s="754"/>
      <c r="C49" s="757"/>
      <c r="D49" s="622"/>
      <c r="E49" s="682"/>
      <c r="F49" s="682"/>
      <c r="G49" s="689" t="s">
        <v>177</v>
      </c>
      <c r="H49" s="630"/>
      <c r="I49" s="740">
        <v>2</v>
      </c>
      <c r="J49" s="592" t="s">
        <v>178</v>
      </c>
      <c r="K49" s="595">
        <v>1</v>
      </c>
      <c r="L49" s="592" t="s">
        <v>124</v>
      </c>
      <c r="M49" s="592" t="s">
        <v>179</v>
      </c>
      <c r="N49" s="117" t="s">
        <v>125</v>
      </c>
      <c r="O49" s="124" t="s">
        <v>180</v>
      </c>
      <c r="P49" s="125" t="s">
        <v>2</v>
      </c>
      <c r="Q49" s="550">
        <v>100</v>
      </c>
      <c r="R49" s="746">
        <f>Q49*K49*0.01</f>
        <v>1</v>
      </c>
      <c r="S49" s="742"/>
      <c r="T49" s="724"/>
      <c r="U49" s="90"/>
      <c r="V49" s="90"/>
      <c r="AA49" s="80" t="s">
        <v>390</v>
      </c>
      <c r="AB49" s="317" t="str">
        <f>N49&amp;" - "&amp;O49</f>
        <v xml:space="preserve">لا  - لم يتم ذلك </v>
      </c>
      <c r="AC49" s="317" t="str">
        <f t="shared" si="1"/>
        <v xml:space="preserve">2-6-2-لا  - لم يتم ذلك </v>
      </c>
      <c r="AD49" s="319">
        <f t="shared" si="0"/>
        <v>0</v>
      </c>
      <c r="AE49" s="320">
        <f>IF(AD49="","",AD49*$R$49)</f>
        <v>0</v>
      </c>
      <c r="AF49" s="320">
        <v>1</v>
      </c>
    </row>
    <row r="50" spans="1:32" ht="23.25" x14ac:dyDescent="0.5">
      <c r="A50" s="751"/>
      <c r="B50" s="754"/>
      <c r="C50" s="757"/>
      <c r="D50" s="622"/>
      <c r="E50" s="682"/>
      <c r="F50" s="682"/>
      <c r="G50" s="744"/>
      <c r="H50" s="630"/>
      <c r="I50" s="740"/>
      <c r="J50" s="592"/>
      <c r="K50" s="595"/>
      <c r="L50" s="592"/>
      <c r="M50" s="592"/>
      <c r="N50" s="48" t="s">
        <v>3</v>
      </c>
      <c r="O50" s="747" t="s">
        <v>14</v>
      </c>
      <c r="P50" s="748"/>
      <c r="Q50" s="550"/>
      <c r="R50" s="746"/>
      <c r="S50" s="742"/>
      <c r="T50" s="724"/>
      <c r="U50" s="90"/>
      <c r="V50" s="90"/>
      <c r="AA50" s="80" t="str">
        <f>AA49</f>
        <v>2-6-2</v>
      </c>
      <c r="AB50" s="317" t="str">
        <f>N50&amp;" - "&amp;O50</f>
        <v>نعم - يتم الانتقال إلى السؤال التالي</v>
      </c>
      <c r="AC50" s="317" t="str">
        <f t="shared" si="1"/>
        <v>2-6-2-نعم - يتم الانتقال إلى السؤال التالي</v>
      </c>
      <c r="AD50" s="319" t="str">
        <f t="shared" si="0"/>
        <v/>
      </c>
      <c r="AE50" s="320" t="s">
        <v>374</v>
      </c>
      <c r="AF50" s="320">
        <v>1</v>
      </c>
    </row>
    <row r="51" spans="1:32" ht="23.25" x14ac:dyDescent="0.5">
      <c r="A51" s="751"/>
      <c r="B51" s="754"/>
      <c r="C51" s="757"/>
      <c r="D51" s="622"/>
      <c r="E51" s="682"/>
      <c r="F51" s="682"/>
      <c r="G51" s="744"/>
      <c r="H51" s="630"/>
      <c r="I51" s="92"/>
      <c r="J51" s="36"/>
      <c r="K51" s="595"/>
      <c r="L51" s="592"/>
      <c r="M51" s="39"/>
      <c r="N51" s="36"/>
      <c r="O51" s="39"/>
      <c r="P51" s="99"/>
      <c r="Q51" s="550"/>
      <c r="R51" s="746"/>
      <c r="S51" s="742"/>
      <c r="T51" s="724"/>
      <c r="U51" s="90"/>
      <c r="V51" s="90"/>
      <c r="AD51" s="319" t="str">
        <f t="shared" si="0"/>
        <v/>
      </c>
      <c r="AE51" s="320"/>
      <c r="AF51" s="320"/>
    </row>
    <row r="52" spans="1:32" ht="23.25" x14ac:dyDescent="0.5">
      <c r="A52" s="751"/>
      <c r="B52" s="754"/>
      <c r="C52" s="757"/>
      <c r="D52" s="622"/>
      <c r="E52" s="682"/>
      <c r="F52" s="682"/>
      <c r="G52" s="744"/>
      <c r="H52" s="630"/>
      <c r="I52" s="740">
        <v>3</v>
      </c>
      <c r="J52" s="592" t="s">
        <v>181</v>
      </c>
      <c r="K52" s="595"/>
      <c r="L52" s="592"/>
      <c r="M52" s="592" t="s">
        <v>182</v>
      </c>
      <c r="N52" s="48" t="s">
        <v>125</v>
      </c>
      <c r="O52" s="118" t="s">
        <v>183</v>
      </c>
      <c r="P52" s="126" t="s">
        <v>2</v>
      </c>
      <c r="Q52" s="550"/>
      <c r="R52" s="746"/>
      <c r="S52" s="742"/>
      <c r="T52" s="724"/>
      <c r="U52" s="90"/>
      <c r="V52" s="90"/>
      <c r="AA52" s="80" t="s">
        <v>391</v>
      </c>
      <c r="AB52" s="317" t="str">
        <f>N52&amp;" - "&amp;O52</f>
        <v>لا  - لا توجد متابعة دورية</v>
      </c>
      <c r="AC52" s="317" t="str">
        <f t="shared" si="1"/>
        <v>2-6-3-لا  - لا توجد متابعة دورية</v>
      </c>
      <c r="AD52" s="319">
        <f t="shared" si="0"/>
        <v>0</v>
      </c>
      <c r="AE52" s="320">
        <f t="shared" ref="AE52:AE54" si="3">IF(AD52="","",AD52*$R$49)</f>
        <v>0</v>
      </c>
      <c r="AF52" s="320">
        <v>1</v>
      </c>
    </row>
    <row r="53" spans="1:32" ht="23.25" x14ac:dyDescent="0.5">
      <c r="A53" s="751"/>
      <c r="B53" s="754"/>
      <c r="C53" s="757"/>
      <c r="D53" s="622"/>
      <c r="E53" s="682"/>
      <c r="F53" s="682"/>
      <c r="G53" s="744"/>
      <c r="H53" s="630"/>
      <c r="I53" s="740"/>
      <c r="J53" s="592"/>
      <c r="K53" s="595"/>
      <c r="L53" s="592"/>
      <c r="M53" s="592"/>
      <c r="N53" s="571" t="s">
        <v>3</v>
      </c>
      <c r="O53" s="118" t="s">
        <v>184</v>
      </c>
      <c r="P53" s="127">
        <v>0.5</v>
      </c>
      <c r="Q53" s="550"/>
      <c r="R53" s="746"/>
      <c r="S53" s="742"/>
      <c r="T53" s="724"/>
      <c r="U53" s="90"/>
      <c r="V53" s="90"/>
      <c r="AA53" s="80" t="str">
        <f>AA52</f>
        <v>2-6-3</v>
      </c>
      <c r="AB53" s="317" t="str">
        <f>N53&amp;" - "&amp;O53</f>
        <v>نعم - توجد متابعة بشكل جزئي</v>
      </c>
      <c r="AC53" s="317" t="str">
        <f t="shared" si="1"/>
        <v>2-6-3-نعم - توجد متابعة بشكل جزئي</v>
      </c>
      <c r="AD53" s="319">
        <f t="shared" si="0"/>
        <v>0.5</v>
      </c>
      <c r="AE53" s="320">
        <f t="shared" si="3"/>
        <v>0.5</v>
      </c>
      <c r="AF53" s="320">
        <v>1</v>
      </c>
    </row>
    <row r="54" spans="1:32" ht="23.25" x14ac:dyDescent="0.5">
      <c r="A54" s="751"/>
      <c r="B54" s="754"/>
      <c r="C54" s="757"/>
      <c r="D54" s="622"/>
      <c r="E54" s="682"/>
      <c r="F54" s="682"/>
      <c r="G54" s="744"/>
      <c r="H54" s="630"/>
      <c r="I54" s="740"/>
      <c r="J54" s="592"/>
      <c r="K54" s="595"/>
      <c r="L54" s="592"/>
      <c r="M54" s="592"/>
      <c r="N54" s="571"/>
      <c r="O54" s="118" t="s">
        <v>185</v>
      </c>
      <c r="P54" s="127">
        <v>1</v>
      </c>
      <c r="Q54" s="550"/>
      <c r="R54" s="746"/>
      <c r="S54" s="742"/>
      <c r="T54" s="724"/>
      <c r="U54" s="90"/>
      <c r="V54" s="90"/>
      <c r="AA54" s="80" t="str">
        <f>AA53</f>
        <v>2-6-3</v>
      </c>
      <c r="AB54" s="317" t="str">
        <f>N53&amp;" - "&amp;O54</f>
        <v>نعم - توجد متابعة بشكل متكامل</v>
      </c>
      <c r="AC54" s="317" t="str">
        <f t="shared" si="1"/>
        <v>2-6-3-نعم - توجد متابعة بشكل متكامل</v>
      </c>
      <c r="AD54" s="319">
        <f t="shared" si="0"/>
        <v>1</v>
      </c>
      <c r="AE54" s="320">
        <f t="shared" si="3"/>
        <v>1</v>
      </c>
      <c r="AF54" s="320">
        <v>1</v>
      </c>
    </row>
    <row r="55" spans="1:32" ht="23.25" x14ac:dyDescent="0.5">
      <c r="A55" s="751"/>
      <c r="B55" s="754"/>
      <c r="C55" s="757"/>
      <c r="D55" s="622"/>
      <c r="E55" s="682"/>
      <c r="F55" s="682"/>
      <c r="G55" s="745"/>
      <c r="H55" s="630"/>
      <c r="I55" s="92"/>
      <c r="J55" s="36"/>
      <c r="K55" s="92"/>
      <c r="L55" s="36"/>
      <c r="M55" s="39"/>
      <c r="N55" s="36"/>
      <c r="O55" s="39"/>
      <c r="P55" s="99"/>
      <c r="Q55" s="92"/>
      <c r="R55" s="97"/>
      <c r="S55" s="742"/>
      <c r="T55" s="724"/>
      <c r="U55" s="90"/>
      <c r="V55" s="90"/>
      <c r="AD55" s="319" t="str">
        <f t="shared" si="0"/>
        <v/>
      </c>
      <c r="AE55" s="320"/>
      <c r="AF55" s="320"/>
    </row>
    <row r="56" spans="1:32" ht="23.25" x14ac:dyDescent="0.5">
      <c r="A56" s="751"/>
      <c r="B56" s="754"/>
      <c r="C56" s="757"/>
      <c r="D56" s="622"/>
      <c r="E56" s="682"/>
      <c r="F56" s="682"/>
      <c r="G56" s="689" t="s">
        <v>186</v>
      </c>
      <c r="H56" s="630"/>
      <c r="I56" s="740">
        <v>4</v>
      </c>
      <c r="J56" s="592" t="s">
        <v>187</v>
      </c>
      <c r="K56" s="595">
        <v>1</v>
      </c>
      <c r="L56" s="592" t="s">
        <v>124</v>
      </c>
      <c r="M56" s="592" t="s">
        <v>188</v>
      </c>
      <c r="N56" s="48" t="s">
        <v>125</v>
      </c>
      <c r="O56" s="118" t="s">
        <v>180</v>
      </c>
      <c r="P56" s="122" t="s">
        <v>2</v>
      </c>
      <c r="Q56" s="550">
        <v>100</v>
      </c>
      <c r="R56" s="598">
        <f>Q56*K56*0.01</f>
        <v>1</v>
      </c>
      <c r="S56" s="742"/>
      <c r="T56" s="724"/>
      <c r="U56" s="90"/>
      <c r="V56" s="90"/>
      <c r="AA56" s="80" t="s">
        <v>392</v>
      </c>
      <c r="AB56" s="317" t="str">
        <f>N56&amp;" - "&amp;O56</f>
        <v xml:space="preserve">لا  - لم يتم ذلك </v>
      </c>
      <c r="AC56" s="317" t="str">
        <f t="shared" si="1"/>
        <v xml:space="preserve">2-6-4-لا  - لم يتم ذلك </v>
      </c>
      <c r="AD56" s="319">
        <f t="shared" si="0"/>
        <v>0</v>
      </c>
      <c r="AE56" s="320">
        <f>IF(AD56="","",AD56*$R$56)</f>
        <v>0</v>
      </c>
      <c r="AF56" s="320">
        <v>1</v>
      </c>
    </row>
    <row r="57" spans="1:32" ht="23.25" x14ac:dyDescent="0.5">
      <c r="A57" s="751"/>
      <c r="B57" s="754"/>
      <c r="C57" s="757"/>
      <c r="D57" s="622"/>
      <c r="E57" s="683"/>
      <c r="F57" s="683"/>
      <c r="G57" s="745"/>
      <c r="H57" s="630"/>
      <c r="I57" s="740"/>
      <c r="J57" s="592"/>
      <c r="K57" s="595"/>
      <c r="L57" s="592"/>
      <c r="M57" s="592"/>
      <c r="N57" s="48" t="s">
        <v>3</v>
      </c>
      <c r="O57" s="118" t="s">
        <v>189</v>
      </c>
      <c r="P57" s="123">
        <v>1</v>
      </c>
      <c r="Q57" s="550"/>
      <c r="R57" s="598"/>
      <c r="S57" s="743"/>
      <c r="T57" s="724"/>
      <c r="U57" s="90"/>
      <c r="V57" s="90"/>
      <c r="AA57" s="80" t="str">
        <f>AA56</f>
        <v>2-6-4</v>
      </c>
      <c r="AB57" s="317" t="str">
        <f>N57&amp;" - "&amp;O57</f>
        <v>نعم - تم عقد برامج تعريفية للمجلس</v>
      </c>
      <c r="AC57" s="317" t="str">
        <f t="shared" si="1"/>
        <v>2-6-4-نعم - تم عقد برامج تعريفية للمجلس</v>
      </c>
      <c r="AD57" s="319">
        <f t="shared" si="0"/>
        <v>1</v>
      </c>
      <c r="AE57" s="320">
        <f>IF(AD57="","",AD57*$R$56)</f>
        <v>1</v>
      </c>
      <c r="AF57" s="320">
        <v>1</v>
      </c>
    </row>
    <row r="58" spans="1:32" ht="23.25" x14ac:dyDescent="0.5">
      <c r="A58" s="751"/>
      <c r="B58" s="754"/>
      <c r="C58" s="757"/>
      <c r="D58" s="622"/>
      <c r="E58" s="96"/>
      <c r="F58" s="97"/>
      <c r="G58" s="98"/>
      <c r="H58" s="97"/>
      <c r="I58" s="92"/>
      <c r="J58" s="36"/>
      <c r="K58" s="92"/>
      <c r="L58" s="36"/>
      <c r="M58" s="39"/>
      <c r="N58" s="36"/>
      <c r="O58" s="39"/>
      <c r="P58" s="99"/>
      <c r="Q58" s="92"/>
      <c r="R58" s="97"/>
      <c r="S58" s="96"/>
      <c r="T58" s="724"/>
      <c r="U58" s="90"/>
      <c r="V58" s="90"/>
      <c r="AD58" s="319" t="str">
        <f t="shared" si="0"/>
        <v/>
      </c>
      <c r="AE58" s="320"/>
      <c r="AF58" s="320"/>
    </row>
    <row r="59" spans="1:32" ht="23.25" x14ac:dyDescent="0.5">
      <c r="A59" s="751"/>
      <c r="B59" s="754"/>
      <c r="C59" s="757"/>
      <c r="D59" s="622"/>
      <c r="E59" s="684">
        <v>7</v>
      </c>
      <c r="F59" s="684">
        <v>16</v>
      </c>
      <c r="G59" s="737" t="s">
        <v>190</v>
      </c>
      <c r="H59" s="630">
        <v>16</v>
      </c>
      <c r="I59" s="543">
        <v>1</v>
      </c>
      <c r="J59" s="545" t="s">
        <v>191</v>
      </c>
      <c r="K59" s="547">
        <v>2</v>
      </c>
      <c r="L59" s="545" t="s">
        <v>124</v>
      </c>
      <c r="M59" s="545" t="s">
        <v>192</v>
      </c>
      <c r="N59" s="120" t="s">
        <v>125</v>
      </c>
      <c r="O59" s="128" t="s">
        <v>126</v>
      </c>
      <c r="P59" s="129" t="s">
        <v>2</v>
      </c>
      <c r="Q59" s="550">
        <v>100</v>
      </c>
      <c r="R59" s="552">
        <f>Q59*K59*0.01</f>
        <v>2</v>
      </c>
      <c r="S59" s="731">
        <f>SUM(R59:R81)</f>
        <v>16</v>
      </c>
      <c r="T59" s="724"/>
      <c r="U59" s="90"/>
      <c r="V59" s="90"/>
      <c r="AA59" s="80" t="s">
        <v>393</v>
      </c>
      <c r="AB59" s="317" t="str">
        <f>N59&amp;" - "&amp;O59</f>
        <v>لا  - لا توجد</v>
      </c>
      <c r="AC59" s="317" t="str">
        <f t="shared" si="1"/>
        <v>2-7-1-لا  - لا توجد</v>
      </c>
      <c r="AD59" s="319">
        <f t="shared" si="0"/>
        <v>0</v>
      </c>
      <c r="AE59" s="320">
        <f>IF(AD59="","",AD59*$R$59)</f>
        <v>0</v>
      </c>
      <c r="AF59" s="320">
        <v>1</v>
      </c>
    </row>
    <row r="60" spans="1:32" ht="23.25" x14ac:dyDescent="0.5">
      <c r="A60" s="751"/>
      <c r="B60" s="754"/>
      <c r="C60" s="757"/>
      <c r="D60" s="622"/>
      <c r="E60" s="682"/>
      <c r="F60" s="682"/>
      <c r="G60" s="738"/>
      <c r="H60" s="630"/>
      <c r="I60" s="543"/>
      <c r="J60" s="545"/>
      <c r="K60" s="547"/>
      <c r="L60" s="545"/>
      <c r="M60" s="545"/>
      <c r="N60" s="120" t="s">
        <v>3</v>
      </c>
      <c r="O60" s="128" t="s">
        <v>194</v>
      </c>
      <c r="P60" s="129">
        <v>1</v>
      </c>
      <c r="Q60" s="550"/>
      <c r="R60" s="552"/>
      <c r="S60" s="668"/>
      <c r="T60" s="724"/>
      <c r="U60" s="90"/>
      <c r="V60" s="90"/>
      <c r="AA60" s="80" t="str">
        <f>AA59</f>
        <v>2-7-1</v>
      </c>
      <c r="AB60" s="317" t="str">
        <f>N60&amp;" - "&amp;O60</f>
        <v>نعم - توجد</v>
      </c>
      <c r="AC60" s="317" t="str">
        <f t="shared" si="1"/>
        <v>2-7-1-نعم - توجد</v>
      </c>
      <c r="AD60" s="319">
        <f t="shared" si="0"/>
        <v>1</v>
      </c>
      <c r="AE60" s="320">
        <f>IF(AD60="","",AD60*$R$59)</f>
        <v>2</v>
      </c>
      <c r="AF60" s="320">
        <v>1</v>
      </c>
    </row>
    <row r="61" spans="1:32" ht="23.25" x14ac:dyDescent="0.5">
      <c r="A61" s="751"/>
      <c r="B61" s="754"/>
      <c r="C61" s="757"/>
      <c r="D61" s="622"/>
      <c r="E61" s="682"/>
      <c r="F61" s="682"/>
      <c r="G61" s="738"/>
      <c r="H61" s="630"/>
      <c r="I61" s="92"/>
      <c r="J61" s="36"/>
      <c r="K61" s="92"/>
      <c r="L61" s="36"/>
      <c r="M61" s="39"/>
      <c r="N61" s="36"/>
      <c r="O61" s="39"/>
      <c r="P61" s="99"/>
      <c r="Q61" s="92"/>
      <c r="R61" s="97"/>
      <c r="S61" s="668"/>
      <c r="T61" s="724"/>
      <c r="U61" s="90"/>
      <c r="V61" s="90"/>
      <c r="AD61" s="319" t="str">
        <f t="shared" si="0"/>
        <v/>
      </c>
      <c r="AE61" s="320"/>
      <c r="AF61" s="320"/>
    </row>
    <row r="62" spans="1:32" ht="23.25" x14ac:dyDescent="0.5">
      <c r="A62" s="751"/>
      <c r="B62" s="754"/>
      <c r="C62" s="757"/>
      <c r="D62" s="622"/>
      <c r="E62" s="682"/>
      <c r="F62" s="682"/>
      <c r="G62" s="738"/>
      <c r="H62" s="630"/>
      <c r="I62" s="543">
        <v>2</v>
      </c>
      <c r="J62" s="545" t="s">
        <v>195</v>
      </c>
      <c r="K62" s="547">
        <v>2</v>
      </c>
      <c r="L62" s="545" t="s">
        <v>124</v>
      </c>
      <c r="M62" s="545" t="s">
        <v>196</v>
      </c>
      <c r="N62" s="120" t="s">
        <v>125</v>
      </c>
      <c r="O62" s="128" t="s">
        <v>126</v>
      </c>
      <c r="P62" s="129" t="s">
        <v>2</v>
      </c>
      <c r="Q62" s="550">
        <v>100</v>
      </c>
      <c r="R62" s="552">
        <f>Q62*K62*0.01</f>
        <v>2</v>
      </c>
      <c r="S62" s="668"/>
      <c r="T62" s="724"/>
      <c r="U62" s="90"/>
      <c r="V62" s="90"/>
      <c r="AA62" s="80" t="s">
        <v>394</v>
      </c>
      <c r="AB62" s="317" t="str">
        <f>N62&amp;" - "&amp;O62</f>
        <v>لا  - لا توجد</v>
      </c>
      <c r="AC62" s="317" t="str">
        <f t="shared" si="1"/>
        <v>2-7-2-لا  - لا توجد</v>
      </c>
      <c r="AD62" s="319">
        <f t="shared" si="0"/>
        <v>0</v>
      </c>
      <c r="AE62" s="320">
        <f>IF(AD62="","",AD62*$R$62)</f>
        <v>0</v>
      </c>
      <c r="AF62" s="320">
        <v>1</v>
      </c>
    </row>
    <row r="63" spans="1:32" ht="23.25" x14ac:dyDescent="0.5">
      <c r="A63" s="751"/>
      <c r="B63" s="754"/>
      <c r="C63" s="757"/>
      <c r="D63" s="622"/>
      <c r="E63" s="682"/>
      <c r="F63" s="682"/>
      <c r="G63" s="738"/>
      <c r="H63" s="630"/>
      <c r="I63" s="543"/>
      <c r="J63" s="545"/>
      <c r="K63" s="547"/>
      <c r="L63" s="545"/>
      <c r="M63" s="545"/>
      <c r="N63" s="120" t="s">
        <v>3</v>
      </c>
      <c r="O63" s="128" t="s">
        <v>194</v>
      </c>
      <c r="P63" s="129">
        <v>1</v>
      </c>
      <c r="Q63" s="550"/>
      <c r="R63" s="552"/>
      <c r="S63" s="668"/>
      <c r="T63" s="724"/>
      <c r="U63" s="90"/>
      <c r="V63" s="90"/>
      <c r="AA63" s="80" t="str">
        <f>AA62</f>
        <v>2-7-2</v>
      </c>
      <c r="AB63" s="317" t="str">
        <f>N63&amp;" - "&amp;O63</f>
        <v>نعم - توجد</v>
      </c>
      <c r="AC63" s="317" t="str">
        <f t="shared" si="1"/>
        <v>2-7-2-نعم - توجد</v>
      </c>
      <c r="AD63" s="319">
        <f t="shared" si="0"/>
        <v>1</v>
      </c>
      <c r="AE63" s="320">
        <f t="shared" ref="AE63" si="4">IF(AD63="","",AD63*$R$62)</f>
        <v>2</v>
      </c>
      <c r="AF63" s="320">
        <v>1</v>
      </c>
    </row>
    <row r="64" spans="1:32" ht="23.25" x14ac:dyDescent="0.5">
      <c r="A64" s="751"/>
      <c r="B64" s="754"/>
      <c r="C64" s="757"/>
      <c r="D64" s="622"/>
      <c r="E64" s="682"/>
      <c r="F64" s="682"/>
      <c r="G64" s="738"/>
      <c r="H64" s="630"/>
      <c r="I64" s="92"/>
      <c r="J64" s="36"/>
      <c r="K64" s="92"/>
      <c r="L64" s="36"/>
      <c r="M64" s="39"/>
      <c r="N64" s="36"/>
      <c r="O64" s="39"/>
      <c r="P64" s="99"/>
      <c r="Q64" s="92"/>
      <c r="R64" s="97"/>
      <c r="S64" s="668"/>
      <c r="T64" s="724"/>
      <c r="U64" s="90"/>
      <c r="V64" s="90"/>
      <c r="AD64" s="319" t="str">
        <f t="shared" si="0"/>
        <v/>
      </c>
      <c r="AE64" s="320"/>
      <c r="AF64" s="320"/>
    </row>
    <row r="65" spans="1:36" ht="23.25" x14ac:dyDescent="0.5">
      <c r="A65" s="751"/>
      <c r="B65" s="754"/>
      <c r="C65" s="757"/>
      <c r="D65" s="622"/>
      <c r="E65" s="682"/>
      <c r="F65" s="682"/>
      <c r="G65" s="738"/>
      <c r="H65" s="630"/>
      <c r="I65" s="543">
        <v>3</v>
      </c>
      <c r="J65" s="545" t="s">
        <v>197</v>
      </c>
      <c r="K65" s="547">
        <v>2</v>
      </c>
      <c r="L65" s="545" t="s">
        <v>124</v>
      </c>
      <c r="M65" s="545" t="s">
        <v>198</v>
      </c>
      <c r="N65" s="120" t="s">
        <v>125</v>
      </c>
      <c r="O65" s="128" t="s">
        <v>126</v>
      </c>
      <c r="P65" s="129" t="s">
        <v>2</v>
      </c>
      <c r="Q65" s="550">
        <v>100</v>
      </c>
      <c r="R65" s="552">
        <f>Q65*K65*0.01</f>
        <v>2</v>
      </c>
      <c r="S65" s="668"/>
      <c r="T65" s="724"/>
      <c r="U65" s="90"/>
      <c r="V65" s="90"/>
      <c r="AA65" s="80" t="s">
        <v>395</v>
      </c>
      <c r="AB65" s="317" t="str">
        <f>N65&amp;" - "&amp;O65</f>
        <v>لا  - لا توجد</v>
      </c>
      <c r="AC65" s="317" t="str">
        <f t="shared" si="1"/>
        <v>2-7-3-لا  - لا توجد</v>
      </c>
      <c r="AD65" s="319">
        <f t="shared" si="0"/>
        <v>0</v>
      </c>
      <c r="AE65" s="320">
        <f>IF(AD65="","",AD65*$R$65)</f>
        <v>0</v>
      </c>
      <c r="AF65" s="320">
        <v>1</v>
      </c>
    </row>
    <row r="66" spans="1:36" ht="23.25" x14ac:dyDescent="0.5">
      <c r="A66" s="751"/>
      <c r="B66" s="754"/>
      <c r="C66" s="757"/>
      <c r="D66" s="622"/>
      <c r="E66" s="682"/>
      <c r="F66" s="682"/>
      <c r="G66" s="738"/>
      <c r="H66" s="630"/>
      <c r="I66" s="543"/>
      <c r="J66" s="545"/>
      <c r="K66" s="547"/>
      <c r="L66" s="545"/>
      <c r="M66" s="545"/>
      <c r="N66" s="120" t="s">
        <v>3</v>
      </c>
      <c r="O66" s="128" t="s">
        <v>194</v>
      </c>
      <c r="P66" s="129">
        <v>1</v>
      </c>
      <c r="Q66" s="550"/>
      <c r="R66" s="552"/>
      <c r="S66" s="668"/>
      <c r="T66" s="724"/>
      <c r="U66" s="90"/>
      <c r="V66" s="90"/>
      <c r="AA66" s="80" t="str">
        <f>AA65</f>
        <v>2-7-3</v>
      </c>
      <c r="AB66" s="317" t="str">
        <f>N66&amp;" - "&amp;O66</f>
        <v>نعم - توجد</v>
      </c>
      <c r="AC66" s="317" t="str">
        <f t="shared" si="1"/>
        <v>2-7-3-نعم - توجد</v>
      </c>
      <c r="AD66" s="319">
        <f t="shared" si="0"/>
        <v>1</v>
      </c>
      <c r="AE66" s="320">
        <f t="shared" ref="AE66" si="5">IF(AD66="","",AD66*$R$65)</f>
        <v>2</v>
      </c>
      <c r="AF66" s="320">
        <v>1</v>
      </c>
    </row>
    <row r="67" spans="1:36" ht="23.25" x14ac:dyDescent="0.5">
      <c r="A67" s="751"/>
      <c r="B67" s="754"/>
      <c r="C67" s="757"/>
      <c r="D67" s="622"/>
      <c r="E67" s="682"/>
      <c r="F67" s="682"/>
      <c r="G67" s="738"/>
      <c r="H67" s="630"/>
      <c r="I67" s="92"/>
      <c r="J67" s="36"/>
      <c r="K67" s="92"/>
      <c r="L67" s="36"/>
      <c r="M67" s="39"/>
      <c r="N67" s="36"/>
      <c r="O67" s="39"/>
      <c r="P67" s="99"/>
      <c r="Q67" s="92"/>
      <c r="R67" s="97"/>
      <c r="S67" s="668"/>
      <c r="T67" s="724"/>
      <c r="U67" s="90"/>
      <c r="V67" s="90"/>
      <c r="AD67" s="319" t="str">
        <f t="shared" ref="AD67:AD130" si="6">IF(AB67="","",IF(AND(LEN(AB67)=36,RIGHT(AB67,6)="التالي"),"",IF(P67="صفر",0,P67)))</f>
        <v/>
      </c>
      <c r="AE67" s="320"/>
      <c r="AF67" s="320"/>
    </row>
    <row r="68" spans="1:36" ht="23.25" x14ac:dyDescent="0.5">
      <c r="A68" s="751"/>
      <c r="B68" s="754"/>
      <c r="C68" s="757"/>
      <c r="D68" s="622"/>
      <c r="E68" s="682"/>
      <c r="F68" s="682"/>
      <c r="G68" s="738"/>
      <c r="H68" s="630"/>
      <c r="I68" s="543">
        <v>4</v>
      </c>
      <c r="J68" s="545" t="s">
        <v>199</v>
      </c>
      <c r="K68" s="547">
        <v>2</v>
      </c>
      <c r="L68" s="545" t="s">
        <v>124</v>
      </c>
      <c r="M68" s="545" t="s">
        <v>200</v>
      </c>
      <c r="N68" s="120" t="s">
        <v>125</v>
      </c>
      <c r="O68" s="128" t="s">
        <v>126</v>
      </c>
      <c r="P68" s="129" t="s">
        <v>2</v>
      </c>
      <c r="Q68" s="550">
        <v>100</v>
      </c>
      <c r="R68" s="552">
        <f>Q68*K68*0.01</f>
        <v>2</v>
      </c>
      <c r="S68" s="668"/>
      <c r="T68" s="724"/>
      <c r="U68" s="90"/>
      <c r="V68" s="90"/>
      <c r="AA68" s="80" t="s">
        <v>396</v>
      </c>
      <c r="AB68" s="317" t="str">
        <f>N68&amp;" - "&amp;O68</f>
        <v>لا  - لا توجد</v>
      </c>
      <c r="AC68" s="317" t="str">
        <f t="shared" ref="AC68:AC130" si="7">AA68&amp;"-"&amp;AB68</f>
        <v>2-7-4-لا  - لا توجد</v>
      </c>
      <c r="AD68" s="319">
        <f t="shared" si="6"/>
        <v>0</v>
      </c>
      <c r="AE68" s="320">
        <f>IF(AD68="","",AD68*$R$68)</f>
        <v>0</v>
      </c>
      <c r="AF68" s="320">
        <v>1</v>
      </c>
    </row>
    <row r="69" spans="1:36" ht="23.25" x14ac:dyDescent="0.5">
      <c r="A69" s="751"/>
      <c r="B69" s="754"/>
      <c r="C69" s="757"/>
      <c r="D69" s="622"/>
      <c r="E69" s="682"/>
      <c r="F69" s="682"/>
      <c r="G69" s="738"/>
      <c r="H69" s="630"/>
      <c r="I69" s="543"/>
      <c r="J69" s="545"/>
      <c r="K69" s="547"/>
      <c r="L69" s="545"/>
      <c r="M69" s="545"/>
      <c r="N69" s="120" t="s">
        <v>3</v>
      </c>
      <c r="O69" s="128" t="s">
        <v>194</v>
      </c>
      <c r="P69" s="129">
        <v>1</v>
      </c>
      <c r="Q69" s="550"/>
      <c r="R69" s="552"/>
      <c r="S69" s="668"/>
      <c r="T69" s="724"/>
      <c r="U69" s="90"/>
      <c r="V69" s="90"/>
      <c r="AA69" s="80" t="str">
        <f>AA68</f>
        <v>2-7-4</v>
      </c>
      <c r="AB69" s="317" t="str">
        <f>N69&amp;" - "&amp;O69</f>
        <v>نعم - توجد</v>
      </c>
      <c r="AC69" s="317" t="str">
        <f t="shared" si="7"/>
        <v>2-7-4-نعم - توجد</v>
      </c>
      <c r="AD69" s="319">
        <f t="shared" si="6"/>
        <v>1</v>
      </c>
      <c r="AE69" s="320">
        <f t="shared" ref="AE69" si="8">IF(AD69="","",AD69*$R$68)</f>
        <v>2</v>
      </c>
      <c r="AF69" s="320">
        <v>1</v>
      </c>
    </row>
    <row r="70" spans="1:36" ht="23.25" x14ac:dyDescent="0.5">
      <c r="A70" s="751"/>
      <c r="B70" s="754"/>
      <c r="C70" s="757"/>
      <c r="D70" s="622"/>
      <c r="E70" s="682"/>
      <c r="F70" s="682"/>
      <c r="G70" s="739"/>
      <c r="H70" s="630"/>
      <c r="I70" s="92"/>
      <c r="J70" s="36"/>
      <c r="K70" s="92"/>
      <c r="L70" s="36"/>
      <c r="M70" s="39"/>
      <c r="N70" s="36"/>
      <c r="O70" s="39"/>
      <c r="P70" s="99"/>
      <c r="Q70" s="92"/>
      <c r="R70" s="97"/>
      <c r="S70" s="668"/>
      <c r="T70" s="724"/>
      <c r="U70" s="90"/>
      <c r="V70" s="90"/>
      <c r="AD70" s="319" t="str">
        <f t="shared" si="6"/>
        <v/>
      </c>
      <c r="AE70" s="320"/>
      <c r="AF70" s="320"/>
    </row>
    <row r="71" spans="1:36" ht="23.25" x14ac:dyDescent="0.5">
      <c r="A71" s="751"/>
      <c r="B71" s="754"/>
      <c r="C71" s="757"/>
      <c r="D71" s="622"/>
      <c r="E71" s="682"/>
      <c r="F71" s="682"/>
      <c r="G71" s="736" t="s">
        <v>201</v>
      </c>
      <c r="H71" s="630"/>
      <c r="I71" s="543">
        <v>5</v>
      </c>
      <c r="J71" s="545" t="s">
        <v>202</v>
      </c>
      <c r="K71" s="547">
        <v>2</v>
      </c>
      <c r="L71" s="545" t="s">
        <v>124</v>
      </c>
      <c r="M71" s="545" t="s">
        <v>203</v>
      </c>
      <c r="N71" s="120" t="s">
        <v>125</v>
      </c>
      <c r="O71" s="128" t="s">
        <v>193</v>
      </c>
      <c r="P71" s="129" t="s">
        <v>2</v>
      </c>
      <c r="Q71" s="550">
        <v>100</v>
      </c>
      <c r="R71" s="552">
        <f>Q71*K71*0.01</f>
        <v>2</v>
      </c>
      <c r="S71" s="668"/>
      <c r="T71" s="724"/>
      <c r="U71" s="90"/>
      <c r="V71" s="90"/>
      <c r="AA71" s="80" t="s">
        <v>397</v>
      </c>
      <c r="AB71" s="317" t="str">
        <f>N71&amp;" - "&amp;O71</f>
        <v xml:space="preserve">لا  - لا توجد </v>
      </c>
      <c r="AC71" s="317" t="str">
        <f t="shared" si="7"/>
        <v xml:space="preserve">2-7-5-لا  - لا توجد </v>
      </c>
      <c r="AD71" s="319">
        <f t="shared" si="6"/>
        <v>0</v>
      </c>
      <c r="AE71" s="320">
        <f>IF(AD71="","",AD71*$R$71)</f>
        <v>0</v>
      </c>
      <c r="AF71" s="320">
        <v>1</v>
      </c>
      <c r="AG71" s="321"/>
      <c r="AJ71" s="130"/>
    </row>
    <row r="72" spans="1:36" ht="23.25" x14ac:dyDescent="0.5">
      <c r="A72" s="751"/>
      <c r="B72" s="754"/>
      <c r="C72" s="757"/>
      <c r="D72" s="622"/>
      <c r="E72" s="682"/>
      <c r="F72" s="682"/>
      <c r="G72" s="736"/>
      <c r="H72" s="630"/>
      <c r="I72" s="543"/>
      <c r="J72" s="545"/>
      <c r="K72" s="547"/>
      <c r="L72" s="545"/>
      <c r="M72" s="545"/>
      <c r="N72" s="120" t="s">
        <v>3</v>
      </c>
      <c r="O72" s="128" t="s">
        <v>194</v>
      </c>
      <c r="P72" s="129">
        <v>1</v>
      </c>
      <c r="Q72" s="550"/>
      <c r="R72" s="552"/>
      <c r="S72" s="668"/>
      <c r="T72" s="724"/>
      <c r="U72" s="90"/>
      <c r="V72" s="90"/>
      <c r="AA72" s="80" t="str">
        <f>AA71</f>
        <v>2-7-5</v>
      </c>
      <c r="AB72" s="317" t="str">
        <f>N72&amp;" - "&amp;O72</f>
        <v>نعم - توجد</v>
      </c>
      <c r="AC72" s="317" t="str">
        <f t="shared" si="7"/>
        <v>2-7-5-نعم - توجد</v>
      </c>
      <c r="AD72" s="319">
        <f t="shared" si="6"/>
        <v>1</v>
      </c>
      <c r="AE72" s="320">
        <f>IF(AD72="","",AD72*$R$71)</f>
        <v>2</v>
      </c>
      <c r="AF72" s="320">
        <v>1</v>
      </c>
      <c r="AG72" s="321"/>
      <c r="AJ72" s="130"/>
    </row>
    <row r="73" spans="1:36" ht="23.25" x14ac:dyDescent="0.5">
      <c r="A73" s="751"/>
      <c r="B73" s="754"/>
      <c r="C73" s="757"/>
      <c r="D73" s="622"/>
      <c r="E73" s="682"/>
      <c r="F73" s="682"/>
      <c r="G73" s="736"/>
      <c r="H73" s="630"/>
      <c r="I73" s="92"/>
      <c r="J73" s="36"/>
      <c r="K73" s="92"/>
      <c r="L73" s="36"/>
      <c r="M73" s="39"/>
      <c r="N73" s="36"/>
      <c r="O73" s="39"/>
      <c r="P73" s="99"/>
      <c r="Q73" s="92"/>
      <c r="R73" s="97"/>
      <c r="S73" s="668"/>
      <c r="T73" s="724"/>
      <c r="U73" s="90"/>
      <c r="V73" s="90"/>
      <c r="AD73" s="319" t="str">
        <f t="shared" si="6"/>
        <v/>
      </c>
      <c r="AE73" s="320"/>
      <c r="AF73" s="320"/>
      <c r="AG73" s="321"/>
      <c r="AJ73" s="130"/>
    </row>
    <row r="74" spans="1:36" ht="23.25" x14ac:dyDescent="0.5">
      <c r="A74" s="751"/>
      <c r="B74" s="754"/>
      <c r="C74" s="757"/>
      <c r="D74" s="622"/>
      <c r="E74" s="682"/>
      <c r="F74" s="682"/>
      <c r="G74" s="736"/>
      <c r="H74" s="630"/>
      <c r="I74" s="543">
        <v>6</v>
      </c>
      <c r="J74" s="545" t="s">
        <v>204</v>
      </c>
      <c r="K74" s="547">
        <v>2</v>
      </c>
      <c r="L74" s="545" t="s">
        <v>124</v>
      </c>
      <c r="M74" s="545" t="s">
        <v>205</v>
      </c>
      <c r="N74" s="120" t="s">
        <v>125</v>
      </c>
      <c r="O74" s="128" t="s">
        <v>126</v>
      </c>
      <c r="P74" s="129" t="s">
        <v>2</v>
      </c>
      <c r="Q74" s="550">
        <v>100</v>
      </c>
      <c r="R74" s="552">
        <f>Q74*K74*0.01</f>
        <v>2</v>
      </c>
      <c r="S74" s="668"/>
      <c r="T74" s="724"/>
      <c r="U74" s="90"/>
      <c r="V74" s="90"/>
      <c r="AA74" s="80" t="s">
        <v>398</v>
      </c>
      <c r="AB74" s="317" t="str">
        <f>N74&amp;" - "&amp;O74</f>
        <v>لا  - لا توجد</v>
      </c>
      <c r="AC74" s="317" t="str">
        <f t="shared" si="7"/>
        <v>2-7-6-لا  - لا توجد</v>
      </c>
      <c r="AD74" s="319">
        <f t="shared" si="6"/>
        <v>0</v>
      </c>
      <c r="AE74" s="320">
        <f>IF(AD74="","",AD74*$R$74)</f>
        <v>0</v>
      </c>
      <c r="AF74" s="320">
        <v>1</v>
      </c>
      <c r="AG74" s="321"/>
      <c r="AJ74" s="130"/>
    </row>
    <row r="75" spans="1:36" ht="23.25" x14ac:dyDescent="0.5">
      <c r="A75" s="751"/>
      <c r="B75" s="754"/>
      <c r="C75" s="757"/>
      <c r="D75" s="622"/>
      <c r="E75" s="682"/>
      <c r="F75" s="682"/>
      <c r="G75" s="736"/>
      <c r="H75" s="630"/>
      <c r="I75" s="543"/>
      <c r="J75" s="545"/>
      <c r="K75" s="547"/>
      <c r="L75" s="545"/>
      <c r="M75" s="545"/>
      <c r="N75" s="120" t="s">
        <v>3</v>
      </c>
      <c r="O75" s="128" t="s">
        <v>194</v>
      </c>
      <c r="P75" s="129">
        <v>1</v>
      </c>
      <c r="Q75" s="550"/>
      <c r="R75" s="552"/>
      <c r="S75" s="668"/>
      <c r="T75" s="724"/>
      <c r="U75" s="90"/>
      <c r="V75" s="90"/>
      <c r="AA75" s="80" t="str">
        <f>AA74</f>
        <v>2-7-6</v>
      </c>
      <c r="AB75" s="317" t="str">
        <f>N75&amp;" - "&amp;O75</f>
        <v>نعم - توجد</v>
      </c>
      <c r="AC75" s="317" t="str">
        <f t="shared" si="7"/>
        <v>2-7-6-نعم - توجد</v>
      </c>
      <c r="AD75" s="319">
        <f t="shared" si="6"/>
        <v>1</v>
      </c>
      <c r="AE75" s="320">
        <f>IF(AD75="","",AD75*$R$74)</f>
        <v>2</v>
      </c>
      <c r="AF75" s="320">
        <v>1</v>
      </c>
      <c r="AG75" s="321"/>
      <c r="AJ75" s="130"/>
    </row>
    <row r="76" spans="1:36" ht="23.25" x14ac:dyDescent="0.5">
      <c r="A76" s="751"/>
      <c r="B76" s="754"/>
      <c r="C76" s="757"/>
      <c r="D76" s="622"/>
      <c r="E76" s="682"/>
      <c r="F76" s="682"/>
      <c r="G76" s="736"/>
      <c r="H76" s="630"/>
      <c r="I76" s="92"/>
      <c r="J76" s="36"/>
      <c r="K76" s="92"/>
      <c r="L76" s="36"/>
      <c r="M76" s="39"/>
      <c r="N76" s="36"/>
      <c r="O76" s="39"/>
      <c r="P76" s="99"/>
      <c r="Q76" s="92"/>
      <c r="R76" s="97"/>
      <c r="S76" s="668"/>
      <c r="T76" s="724"/>
      <c r="U76" s="90"/>
      <c r="V76" s="90"/>
      <c r="AD76" s="319" t="str">
        <f t="shared" si="6"/>
        <v/>
      </c>
      <c r="AE76" s="320"/>
      <c r="AF76" s="320"/>
      <c r="AG76" s="321"/>
      <c r="AJ76" s="130"/>
    </row>
    <row r="77" spans="1:36" ht="23.25" x14ac:dyDescent="0.5">
      <c r="A77" s="751"/>
      <c r="B77" s="754"/>
      <c r="C77" s="757"/>
      <c r="D77" s="622"/>
      <c r="E77" s="682"/>
      <c r="F77" s="682"/>
      <c r="G77" s="736"/>
      <c r="H77" s="630"/>
      <c r="I77" s="543">
        <v>7</v>
      </c>
      <c r="J77" s="545" t="s">
        <v>206</v>
      </c>
      <c r="K77" s="547">
        <v>2</v>
      </c>
      <c r="L77" s="545" t="s">
        <v>124</v>
      </c>
      <c r="M77" s="545" t="s">
        <v>207</v>
      </c>
      <c r="N77" s="120" t="s">
        <v>125</v>
      </c>
      <c r="O77" s="128" t="s">
        <v>126</v>
      </c>
      <c r="P77" s="129" t="s">
        <v>2</v>
      </c>
      <c r="Q77" s="550">
        <v>100</v>
      </c>
      <c r="R77" s="552">
        <f>Q77*K77*0.01</f>
        <v>2</v>
      </c>
      <c r="S77" s="668"/>
      <c r="T77" s="724"/>
      <c r="U77" s="90"/>
      <c r="V77" s="90"/>
      <c r="AA77" s="80" t="s">
        <v>399</v>
      </c>
      <c r="AB77" s="317" t="str">
        <f>N77&amp;" - "&amp;O77</f>
        <v>لا  - لا توجد</v>
      </c>
      <c r="AC77" s="317" t="str">
        <f t="shared" si="7"/>
        <v>2-7-7-لا  - لا توجد</v>
      </c>
      <c r="AD77" s="319">
        <f t="shared" si="6"/>
        <v>0</v>
      </c>
      <c r="AE77" s="320">
        <f>IF(AD77="","",AD77*$R$77)</f>
        <v>0</v>
      </c>
      <c r="AF77" s="320">
        <v>1</v>
      </c>
      <c r="AG77" s="321"/>
      <c r="AJ77" s="130"/>
    </row>
    <row r="78" spans="1:36" ht="23.25" x14ac:dyDescent="0.5">
      <c r="A78" s="751"/>
      <c r="B78" s="754"/>
      <c r="C78" s="757"/>
      <c r="D78" s="622"/>
      <c r="E78" s="682"/>
      <c r="F78" s="682"/>
      <c r="G78" s="736"/>
      <c r="H78" s="630"/>
      <c r="I78" s="543"/>
      <c r="J78" s="545"/>
      <c r="K78" s="547"/>
      <c r="L78" s="545"/>
      <c r="M78" s="545"/>
      <c r="N78" s="120" t="s">
        <v>3</v>
      </c>
      <c r="O78" s="128" t="s">
        <v>194</v>
      </c>
      <c r="P78" s="129">
        <v>1</v>
      </c>
      <c r="Q78" s="550"/>
      <c r="R78" s="552"/>
      <c r="S78" s="668"/>
      <c r="T78" s="724"/>
      <c r="U78" s="90"/>
      <c r="V78" s="90"/>
      <c r="AA78" s="80" t="str">
        <f>AA77</f>
        <v>2-7-7</v>
      </c>
      <c r="AB78" s="317" t="str">
        <f>N78&amp;" - "&amp;O78</f>
        <v>نعم - توجد</v>
      </c>
      <c r="AC78" s="317" t="str">
        <f t="shared" si="7"/>
        <v>2-7-7-نعم - توجد</v>
      </c>
      <c r="AD78" s="319">
        <f t="shared" si="6"/>
        <v>1</v>
      </c>
      <c r="AE78" s="320">
        <f>IF(AD78="","",AD78*$R$77)</f>
        <v>2</v>
      </c>
      <c r="AF78" s="320">
        <v>1</v>
      </c>
      <c r="AG78" s="321"/>
      <c r="AJ78" s="130"/>
    </row>
    <row r="79" spans="1:36" ht="23.25" x14ac:dyDescent="0.5">
      <c r="A79" s="751"/>
      <c r="B79" s="754"/>
      <c r="C79" s="757"/>
      <c r="D79" s="622"/>
      <c r="E79" s="682"/>
      <c r="F79" s="682"/>
      <c r="G79" s="736"/>
      <c r="H79" s="630"/>
      <c r="I79" s="92"/>
      <c r="J79" s="36"/>
      <c r="K79" s="92"/>
      <c r="L79" s="36"/>
      <c r="M79" s="39"/>
      <c r="N79" s="36"/>
      <c r="O79" s="39"/>
      <c r="P79" s="99"/>
      <c r="Q79" s="92"/>
      <c r="R79" s="97"/>
      <c r="S79" s="668"/>
      <c r="T79" s="724"/>
      <c r="U79" s="90"/>
      <c r="V79" s="90"/>
      <c r="AD79" s="319" t="str">
        <f t="shared" si="6"/>
        <v/>
      </c>
      <c r="AE79" s="320"/>
      <c r="AF79" s="320"/>
      <c r="AG79" s="321"/>
      <c r="AJ79" s="130"/>
    </row>
    <row r="80" spans="1:36" ht="23.25" x14ac:dyDescent="0.5">
      <c r="A80" s="751"/>
      <c r="B80" s="754"/>
      <c r="C80" s="757"/>
      <c r="D80" s="622"/>
      <c r="E80" s="682"/>
      <c r="F80" s="682"/>
      <c r="G80" s="736"/>
      <c r="H80" s="630"/>
      <c r="I80" s="543">
        <v>8</v>
      </c>
      <c r="J80" s="545" t="s">
        <v>208</v>
      </c>
      <c r="K80" s="547">
        <v>2</v>
      </c>
      <c r="L80" s="545" t="s">
        <v>124</v>
      </c>
      <c r="M80" s="545" t="s">
        <v>209</v>
      </c>
      <c r="N80" s="120" t="s">
        <v>125</v>
      </c>
      <c r="O80" s="128" t="s">
        <v>126</v>
      </c>
      <c r="P80" s="129" t="s">
        <v>2</v>
      </c>
      <c r="Q80" s="550">
        <v>100</v>
      </c>
      <c r="R80" s="552">
        <f>Q80*K80*0.01</f>
        <v>2</v>
      </c>
      <c r="S80" s="668"/>
      <c r="T80" s="724"/>
      <c r="U80" s="90"/>
      <c r="V80" s="90"/>
      <c r="AA80" s="80" t="s">
        <v>400</v>
      </c>
      <c r="AB80" s="317" t="str">
        <f>N80&amp;" - "&amp;O80</f>
        <v>لا  - لا توجد</v>
      </c>
      <c r="AC80" s="317" t="str">
        <f t="shared" si="7"/>
        <v>2-7-8-لا  - لا توجد</v>
      </c>
      <c r="AD80" s="319">
        <f t="shared" si="6"/>
        <v>0</v>
      </c>
      <c r="AE80" s="320">
        <f>IF(AD80="","",AD80*$R$80)</f>
        <v>0</v>
      </c>
      <c r="AF80" s="320">
        <v>1</v>
      </c>
      <c r="AG80" s="321"/>
      <c r="AJ80" s="130"/>
    </row>
    <row r="81" spans="1:36" ht="23.25" x14ac:dyDescent="0.5">
      <c r="A81" s="751"/>
      <c r="B81" s="754"/>
      <c r="C81" s="757"/>
      <c r="D81" s="622"/>
      <c r="E81" s="683"/>
      <c r="F81" s="683"/>
      <c r="G81" s="736"/>
      <c r="H81" s="630"/>
      <c r="I81" s="543"/>
      <c r="J81" s="545"/>
      <c r="K81" s="547"/>
      <c r="L81" s="545"/>
      <c r="M81" s="545"/>
      <c r="N81" s="120" t="s">
        <v>3</v>
      </c>
      <c r="O81" s="128" t="s">
        <v>194</v>
      </c>
      <c r="P81" s="129">
        <v>1</v>
      </c>
      <c r="Q81" s="550"/>
      <c r="R81" s="552"/>
      <c r="S81" s="642"/>
      <c r="T81" s="724"/>
      <c r="U81" s="90"/>
      <c r="V81" s="90"/>
      <c r="AA81" s="80" t="str">
        <f>AA80</f>
        <v>2-7-8</v>
      </c>
      <c r="AB81" s="317" t="str">
        <f>N81&amp;" - "&amp;O81</f>
        <v>نعم - توجد</v>
      </c>
      <c r="AC81" s="317" t="str">
        <f t="shared" si="7"/>
        <v>2-7-8-نعم - توجد</v>
      </c>
      <c r="AD81" s="319">
        <f t="shared" si="6"/>
        <v>1</v>
      </c>
      <c r="AE81" s="320">
        <f>IF(AD81="","",AD81*$R$80)</f>
        <v>2</v>
      </c>
      <c r="AF81" s="320">
        <v>1</v>
      </c>
      <c r="AG81" s="321"/>
      <c r="AJ81" s="130"/>
    </row>
    <row r="82" spans="1:36" ht="23.25" x14ac:dyDescent="0.5">
      <c r="A82" s="751"/>
      <c r="B82" s="754"/>
      <c r="C82" s="757"/>
      <c r="D82" s="622"/>
      <c r="E82" s="96"/>
      <c r="F82" s="97"/>
      <c r="G82" s="98"/>
      <c r="H82" s="97"/>
      <c r="I82" s="92"/>
      <c r="J82" s="36"/>
      <c r="K82" s="92"/>
      <c r="L82" s="36"/>
      <c r="M82" s="39"/>
      <c r="N82" s="36"/>
      <c r="O82" s="39"/>
      <c r="P82" s="99"/>
      <c r="Q82" s="92"/>
      <c r="R82" s="97"/>
      <c r="S82" s="96"/>
      <c r="T82" s="724"/>
      <c r="U82" s="90"/>
      <c r="V82" s="90"/>
      <c r="AD82" s="319" t="str">
        <f t="shared" si="6"/>
        <v/>
      </c>
      <c r="AE82" s="320"/>
      <c r="AF82" s="320"/>
      <c r="AG82" s="321"/>
      <c r="AJ82" s="130"/>
    </row>
    <row r="83" spans="1:36" ht="23.25" x14ac:dyDescent="0.5">
      <c r="A83" s="751"/>
      <c r="B83" s="754"/>
      <c r="C83" s="757"/>
      <c r="D83" s="622"/>
      <c r="E83" s="684">
        <v>8</v>
      </c>
      <c r="F83" s="684">
        <v>4</v>
      </c>
      <c r="G83" s="628" t="s">
        <v>210</v>
      </c>
      <c r="H83" s="630">
        <v>4</v>
      </c>
      <c r="I83" s="633">
        <v>1</v>
      </c>
      <c r="J83" s="571" t="s">
        <v>211</v>
      </c>
      <c r="K83" s="595">
        <v>4</v>
      </c>
      <c r="L83" s="592" t="s">
        <v>124</v>
      </c>
      <c r="M83" s="592" t="s">
        <v>212</v>
      </c>
      <c r="N83" s="117" t="s">
        <v>125</v>
      </c>
      <c r="O83" s="124" t="s">
        <v>126</v>
      </c>
      <c r="P83" s="131" t="s">
        <v>2</v>
      </c>
      <c r="Q83" s="550">
        <v>100</v>
      </c>
      <c r="R83" s="598">
        <f>Q83*K83*0.01</f>
        <v>4</v>
      </c>
      <c r="S83" s="639">
        <f>SUM(R83:R87)</f>
        <v>4</v>
      </c>
      <c r="T83" s="724"/>
      <c r="U83" s="90"/>
      <c r="V83" s="90"/>
      <c r="AA83" s="80" t="s">
        <v>401</v>
      </c>
      <c r="AB83" s="317" t="str">
        <f>N83&amp;" - "&amp;O83</f>
        <v>لا  - لا توجد</v>
      </c>
      <c r="AC83" s="317" t="str">
        <f t="shared" si="7"/>
        <v>2-8-1-لا  - لا توجد</v>
      </c>
      <c r="AD83" s="319">
        <f t="shared" si="6"/>
        <v>0</v>
      </c>
      <c r="AE83" s="320">
        <f>IF(AD83="","",AD83*$R$83)</f>
        <v>0</v>
      </c>
      <c r="AF83" s="320">
        <v>1</v>
      </c>
      <c r="AG83" s="321"/>
      <c r="AJ83" s="130"/>
    </row>
    <row r="84" spans="1:36" ht="23.25" x14ac:dyDescent="0.5">
      <c r="A84" s="751"/>
      <c r="B84" s="754"/>
      <c r="C84" s="757"/>
      <c r="D84" s="622"/>
      <c r="E84" s="682"/>
      <c r="F84" s="682"/>
      <c r="G84" s="628"/>
      <c r="H84" s="630"/>
      <c r="I84" s="633"/>
      <c r="J84" s="571"/>
      <c r="K84" s="595"/>
      <c r="L84" s="592"/>
      <c r="M84" s="592"/>
      <c r="N84" s="48" t="s">
        <v>3</v>
      </c>
      <c r="O84" s="571" t="s">
        <v>14</v>
      </c>
      <c r="P84" s="666"/>
      <c r="Q84" s="550"/>
      <c r="R84" s="598"/>
      <c r="S84" s="677"/>
      <c r="T84" s="724"/>
      <c r="U84" s="90"/>
      <c r="V84" s="90"/>
      <c r="AA84" s="80" t="str">
        <f>AA83</f>
        <v>2-8-1</v>
      </c>
      <c r="AB84" s="317" t="str">
        <f>N84&amp;" - "&amp;O84</f>
        <v>نعم - يتم الانتقال إلى السؤال التالي</v>
      </c>
      <c r="AC84" s="317" t="str">
        <f t="shared" si="7"/>
        <v>2-8-1-نعم - يتم الانتقال إلى السؤال التالي</v>
      </c>
      <c r="AD84" s="319" t="str">
        <f t="shared" si="6"/>
        <v/>
      </c>
      <c r="AE84" s="320" t="s">
        <v>374</v>
      </c>
      <c r="AF84" s="320">
        <v>1</v>
      </c>
      <c r="AG84" s="321"/>
      <c r="AJ84" s="130"/>
    </row>
    <row r="85" spans="1:36" ht="23.25" x14ac:dyDescent="0.5">
      <c r="A85" s="751"/>
      <c r="B85" s="754"/>
      <c r="C85" s="757"/>
      <c r="D85" s="622"/>
      <c r="E85" s="682"/>
      <c r="F85" s="682"/>
      <c r="G85" s="628"/>
      <c r="H85" s="630"/>
      <c r="I85" s="92"/>
      <c r="J85" s="36"/>
      <c r="K85" s="595"/>
      <c r="L85" s="39"/>
      <c r="M85" s="36"/>
      <c r="N85" s="39"/>
      <c r="O85" s="36"/>
      <c r="P85" s="93"/>
      <c r="Q85" s="550"/>
      <c r="R85" s="598"/>
      <c r="S85" s="677"/>
      <c r="T85" s="724"/>
      <c r="U85" s="90"/>
      <c r="V85" s="90"/>
      <c r="AD85" s="319" t="str">
        <f t="shared" si="6"/>
        <v/>
      </c>
      <c r="AE85" s="320"/>
      <c r="AF85" s="320"/>
      <c r="AG85" s="321"/>
      <c r="AJ85" s="130"/>
    </row>
    <row r="86" spans="1:36" ht="23.25" x14ac:dyDescent="0.5">
      <c r="A86" s="751"/>
      <c r="B86" s="754"/>
      <c r="C86" s="757"/>
      <c r="D86" s="622"/>
      <c r="E86" s="682"/>
      <c r="F86" s="682"/>
      <c r="G86" s="628"/>
      <c r="H86" s="630"/>
      <c r="I86" s="633">
        <v>2</v>
      </c>
      <c r="J86" s="592" t="s">
        <v>213</v>
      </c>
      <c r="K86" s="595"/>
      <c r="L86" s="592" t="s">
        <v>140</v>
      </c>
      <c r="M86" s="592" t="s">
        <v>214</v>
      </c>
      <c r="N86" s="48" t="s">
        <v>125</v>
      </c>
      <c r="O86" s="48" t="s">
        <v>215</v>
      </c>
      <c r="P86" s="132" t="s">
        <v>2</v>
      </c>
      <c r="Q86" s="550"/>
      <c r="R86" s="598"/>
      <c r="S86" s="677"/>
      <c r="T86" s="724"/>
      <c r="U86" s="90"/>
      <c r="V86" s="90"/>
      <c r="AA86" s="80" t="s">
        <v>402</v>
      </c>
      <c r="AB86" s="317" t="str">
        <f>N86&amp;" - "&amp;O86</f>
        <v>لا  - لا يتم ذلك</v>
      </c>
      <c r="AC86" s="317" t="str">
        <f t="shared" si="7"/>
        <v>2-8-2-لا  - لا يتم ذلك</v>
      </c>
      <c r="AD86" s="319">
        <f t="shared" si="6"/>
        <v>0</v>
      </c>
      <c r="AE86" s="320">
        <f t="shared" ref="AE86:AE87" si="9">IF(AD86="","",AD86*$R$83)</f>
        <v>0</v>
      </c>
      <c r="AF86" s="320">
        <v>1</v>
      </c>
      <c r="AG86" s="321"/>
      <c r="AJ86" s="130"/>
    </row>
    <row r="87" spans="1:36" ht="23.25" x14ac:dyDescent="0.5">
      <c r="A87" s="751"/>
      <c r="B87" s="754"/>
      <c r="C87" s="757"/>
      <c r="D87" s="622"/>
      <c r="E87" s="683"/>
      <c r="F87" s="683"/>
      <c r="G87" s="628"/>
      <c r="H87" s="630"/>
      <c r="I87" s="633"/>
      <c r="J87" s="571"/>
      <c r="K87" s="595"/>
      <c r="L87" s="592"/>
      <c r="M87" s="592"/>
      <c r="N87" s="48" t="s">
        <v>3</v>
      </c>
      <c r="O87" s="48" t="s">
        <v>216</v>
      </c>
      <c r="P87" s="132">
        <v>1</v>
      </c>
      <c r="Q87" s="550"/>
      <c r="R87" s="598"/>
      <c r="S87" s="735"/>
      <c r="T87" s="724"/>
      <c r="U87" s="90"/>
      <c r="V87" s="90"/>
      <c r="AA87" s="80" t="str">
        <f>AA86</f>
        <v>2-8-2</v>
      </c>
      <c r="AB87" s="317" t="str">
        <f>N87&amp;" - "&amp;O87</f>
        <v>نعم - يتم ذلك بشكل متكامل</v>
      </c>
      <c r="AC87" s="317" t="str">
        <f t="shared" si="7"/>
        <v>2-8-2-نعم - يتم ذلك بشكل متكامل</v>
      </c>
      <c r="AD87" s="319">
        <f t="shared" si="6"/>
        <v>1</v>
      </c>
      <c r="AE87" s="320">
        <f t="shared" si="9"/>
        <v>4</v>
      </c>
      <c r="AF87" s="320">
        <v>1</v>
      </c>
      <c r="AG87" s="321"/>
      <c r="AJ87" s="130"/>
    </row>
    <row r="88" spans="1:36" ht="23.25" x14ac:dyDescent="0.5">
      <c r="A88" s="751"/>
      <c r="B88" s="754"/>
      <c r="C88" s="757"/>
      <c r="D88" s="622"/>
      <c r="E88" s="96"/>
      <c r="F88" s="97"/>
      <c r="G88" s="98"/>
      <c r="H88" s="97"/>
      <c r="I88" s="92"/>
      <c r="J88" s="36"/>
      <c r="K88" s="92"/>
      <c r="L88" s="36"/>
      <c r="M88" s="39"/>
      <c r="N88" s="36"/>
      <c r="O88" s="39"/>
      <c r="P88" s="99"/>
      <c r="Q88" s="92"/>
      <c r="R88" s="97"/>
      <c r="S88" s="96"/>
      <c r="T88" s="724"/>
      <c r="U88" s="90"/>
      <c r="V88" s="90"/>
      <c r="AD88" s="319" t="str">
        <f t="shared" si="6"/>
        <v/>
      </c>
      <c r="AE88" s="320"/>
      <c r="AF88" s="320"/>
      <c r="AG88" s="321"/>
      <c r="AJ88" s="130"/>
    </row>
    <row r="89" spans="1:36" ht="23.25" x14ac:dyDescent="0.5">
      <c r="A89" s="751"/>
      <c r="B89" s="754"/>
      <c r="C89" s="757"/>
      <c r="D89" s="622"/>
      <c r="E89" s="684">
        <v>9</v>
      </c>
      <c r="F89" s="684">
        <v>3</v>
      </c>
      <c r="G89" s="628" t="s">
        <v>217</v>
      </c>
      <c r="H89" s="630">
        <v>3</v>
      </c>
      <c r="I89" s="543">
        <v>1</v>
      </c>
      <c r="J89" s="545" t="s">
        <v>218</v>
      </c>
      <c r="K89" s="547">
        <v>3</v>
      </c>
      <c r="L89" s="545" t="s">
        <v>140</v>
      </c>
      <c r="M89" s="545" t="s">
        <v>219</v>
      </c>
      <c r="N89" s="120" t="s">
        <v>125</v>
      </c>
      <c r="O89" s="120" t="s">
        <v>145</v>
      </c>
      <c r="P89" s="121" t="s">
        <v>2</v>
      </c>
      <c r="Q89" s="550">
        <v>100</v>
      </c>
      <c r="R89" s="552">
        <f>Q89*K89*0.01</f>
        <v>3</v>
      </c>
      <c r="S89" s="731">
        <f>R89</f>
        <v>3</v>
      </c>
      <c r="T89" s="724"/>
      <c r="U89" s="90"/>
      <c r="V89" s="90"/>
      <c r="AA89" s="80" t="s">
        <v>403</v>
      </c>
      <c r="AB89" s="317" t="str">
        <f>N89&amp;" - "&amp;O89</f>
        <v>لا  - لم يتم ذلك</v>
      </c>
      <c r="AC89" s="317" t="str">
        <f t="shared" si="7"/>
        <v>2-9-1-لا  - لم يتم ذلك</v>
      </c>
      <c r="AD89" s="319">
        <f t="shared" si="6"/>
        <v>0</v>
      </c>
      <c r="AE89" s="320">
        <f>IF(AD89="","",AD89*$R$89)</f>
        <v>0</v>
      </c>
      <c r="AF89" s="320">
        <v>1</v>
      </c>
      <c r="AG89" s="321"/>
      <c r="AJ89" s="130"/>
    </row>
    <row r="90" spans="1:36" ht="23.25" x14ac:dyDescent="0.5">
      <c r="A90" s="751"/>
      <c r="B90" s="754"/>
      <c r="C90" s="757"/>
      <c r="D90" s="622"/>
      <c r="E90" s="682"/>
      <c r="F90" s="682"/>
      <c r="G90" s="628"/>
      <c r="H90" s="630"/>
      <c r="I90" s="543"/>
      <c r="J90" s="564"/>
      <c r="K90" s="547"/>
      <c r="L90" s="545"/>
      <c r="M90" s="545"/>
      <c r="N90" s="564" t="s">
        <v>3</v>
      </c>
      <c r="O90" s="128" t="s">
        <v>220</v>
      </c>
      <c r="P90" s="121">
        <v>0.5</v>
      </c>
      <c r="Q90" s="550"/>
      <c r="R90" s="552"/>
      <c r="S90" s="668"/>
      <c r="T90" s="724"/>
      <c r="U90" s="90"/>
      <c r="V90" s="90"/>
      <c r="AA90" s="80" t="str">
        <f>AA89</f>
        <v>2-9-1</v>
      </c>
      <c r="AB90" s="317" t="str">
        <f>N90&amp;" - "&amp;O90</f>
        <v>نعم - يتم ذلك بشكل جزئي</v>
      </c>
      <c r="AC90" s="317" t="str">
        <f t="shared" si="7"/>
        <v>2-9-1-نعم - يتم ذلك بشكل جزئي</v>
      </c>
      <c r="AD90" s="319">
        <f t="shared" si="6"/>
        <v>0.5</v>
      </c>
      <c r="AE90" s="320">
        <f t="shared" ref="AE90:AE91" si="10">IF(AD90="","",AD90*$R$89)</f>
        <v>1.5</v>
      </c>
      <c r="AF90" s="320">
        <v>1</v>
      </c>
      <c r="AG90" s="321"/>
      <c r="AJ90" s="130"/>
    </row>
    <row r="91" spans="1:36" ht="23.25" x14ac:dyDescent="0.5">
      <c r="A91" s="751"/>
      <c r="B91" s="754"/>
      <c r="C91" s="757"/>
      <c r="D91" s="622"/>
      <c r="E91" s="683"/>
      <c r="F91" s="683"/>
      <c r="G91" s="628"/>
      <c r="H91" s="630"/>
      <c r="I91" s="543"/>
      <c r="J91" s="564"/>
      <c r="K91" s="547"/>
      <c r="L91" s="545"/>
      <c r="M91" s="545"/>
      <c r="N91" s="564"/>
      <c r="O91" s="128" t="s">
        <v>216</v>
      </c>
      <c r="P91" s="129">
        <v>1</v>
      </c>
      <c r="Q91" s="550"/>
      <c r="R91" s="552"/>
      <c r="S91" s="642"/>
      <c r="T91" s="724"/>
      <c r="U91" s="90"/>
      <c r="V91" s="90"/>
      <c r="AA91" s="80" t="str">
        <f>AA90</f>
        <v>2-9-1</v>
      </c>
      <c r="AB91" s="317" t="str">
        <f>N90&amp;" - "&amp;O91</f>
        <v>نعم - يتم ذلك بشكل متكامل</v>
      </c>
      <c r="AC91" s="317" t="str">
        <f t="shared" si="7"/>
        <v>2-9-1-نعم - يتم ذلك بشكل متكامل</v>
      </c>
      <c r="AD91" s="319">
        <f t="shared" si="6"/>
        <v>1</v>
      </c>
      <c r="AE91" s="320">
        <f t="shared" si="10"/>
        <v>3</v>
      </c>
      <c r="AF91" s="320">
        <v>1</v>
      </c>
      <c r="AG91" s="321"/>
      <c r="AJ91" s="130"/>
    </row>
    <row r="92" spans="1:36" ht="23.25" x14ac:dyDescent="0.5">
      <c r="A92" s="751"/>
      <c r="B92" s="754"/>
      <c r="C92" s="757"/>
      <c r="D92" s="622"/>
      <c r="E92" s="96"/>
      <c r="F92" s="97"/>
      <c r="G92" s="98"/>
      <c r="H92" s="97"/>
      <c r="I92" s="92"/>
      <c r="J92" s="36"/>
      <c r="K92" s="92"/>
      <c r="L92" s="36"/>
      <c r="M92" s="39"/>
      <c r="N92" s="36"/>
      <c r="O92" s="39"/>
      <c r="P92" s="99"/>
      <c r="Q92" s="92"/>
      <c r="R92" s="97"/>
      <c r="S92" s="96"/>
      <c r="T92" s="724"/>
      <c r="U92" s="90"/>
      <c r="V92" s="90"/>
      <c r="AD92" s="319" t="str">
        <f t="shared" si="6"/>
        <v/>
      </c>
      <c r="AE92" s="320"/>
      <c r="AF92" s="320"/>
      <c r="AG92" s="321"/>
      <c r="AJ92" s="130"/>
    </row>
    <row r="93" spans="1:36" ht="23.25" x14ac:dyDescent="0.5">
      <c r="A93" s="751"/>
      <c r="B93" s="754"/>
      <c r="C93" s="757"/>
      <c r="D93" s="622"/>
      <c r="E93" s="684">
        <v>10</v>
      </c>
      <c r="F93" s="684">
        <v>2</v>
      </c>
      <c r="G93" s="628" t="s">
        <v>221</v>
      </c>
      <c r="H93" s="630">
        <v>2</v>
      </c>
      <c r="I93" s="595">
        <v>1</v>
      </c>
      <c r="J93" s="592" t="s">
        <v>222</v>
      </c>
      <c r="K93" s="595">
        <v>1</v>
      </c>
      <c r="L93" s="592" t="s">
        <v>140</v>
      </c>
      <c r="M93" s="592" t="s">
        <v>223</v>
      </c>
      <c r="N93" s="48" t="s">
        <v>125</v>
      </c>
      <c r="O93" s="48" t="s">
        <v>215</v>
      </c>
      <c r="P93" s="133" t="s">
        <v>2</v>
      </c>
      <c r="Q93" s="550">
        <v>100</v>
      </c>
      <c r="R93" s="598">
        <f>Q93*K93*0.01</f>
        <v>1</v>
      </c>
      <c r="S93" s="639">
        <f>SUM(R93:R99)</f>
        <v>2</v>
      </c>
      <c r="T93" s="724"/>
      <c r="U93" s="90"/>
      <c r="V93" s="90"/>
      <c r="AA93" s="80" t="s">
        <v>404</v>
      </c>
      <c r="AB93" s="317" t="str">
        <f>N93&amp;" - "&amp;O93</f>
        <v>لا  - لا يتم ذلك</v>
      </c>
      <c r="AC93" s="317" t="str">
        <f t="shared" si="7"/>
        <v>2-10-1-لا  - لا يتم ذلك</v>
      </c>
      <c r="AD93" s="319">
        <f t="shared" si="6"/>
        <v>0</v>
      </c>
      <c r="AE93" s="320">
        <f>IF(AD93="","",AD93*$R$93)</f>
        <v>0</v>
      </c>
      <c r="AF93" s="320">
        <v>1</v>
      </c>
      <c r="AG93" s="321"/>
      <c r="AJ93" s="130"/>
    </row>
    <row r="94" spans="1:36" ht="23.25" x14ac:dyDescent="0.5">
      <c r="A94" s="751"/>
      <c r="B94" s="754"/>
      <c r="C94" s="757"/>
      <c r="D94" s="622"/>
      <c r="E94" s="682"/>
      <c r="F94" s="682"/>
      <c r="G94" s="628"/>
      <c r="H94" s="630"/>
      <c r="I94" s="595"/>
      <c r="J94" s="592"/>
      <c r="K94" s="595"/>
      <c r="L94" s="592"/>
      <c r="M94" s="592"/>
      <c r="N94" s="571" t="s">
        <v>3</v>
      </c>
      <c r="O94" s="118" t="s">
        <v>220</v>
      </c>
      <c r="P94" s="133">
        <v>0.5</v>
      </c>
      <c r="Q94" s="550"/>
      <c r="R94" s="598"/>
      <c r="S94" s="677"/>
      <c r="T94" s="724"/>
      <c r="U94" s="90"/>
      <c r="V94" s="90"/>
      <c r="AA94" s="80" t="str">
        <f>AA93</f>
        <v>2-10-1</v>
      </c>
      <c r="AB94" s="317" t="str">
        <f>N94&amp;" - "&amp;O94</f>
        <v>نعم - يتم ذلك بشكل جزئي</v>
      </c>
      <c r="AC94" s="317" t="str">
        <f t="shared" si="7"/>
        <v>2-10-1-نعم - يتم ذلك بشكل جزئي</v>
      </c>
      <c r="AD94" s="319">
        <f t="shared" si="6"/>
        <v>0.5</v>
      </c>
      <c r="AE94" s="320">
        <f t="shared" ref="AE94:AE95" si="11">IF(AD94="","",AD94*$R$93)</f>
        <v>0.5</v>
      </c>
      <c r="AF94" s="320">
        <v>1</v>
      </c>
      <c r="AG94" s="321"/>
      <c r="AJ94" s="130"/>
    </row>
    <row r="95" spans="1:36" ht="23.25" x14ac:dyDescent="0.5">
      <c r="A95" s="751"/>
      <c r="B95" s="754"/>
      <c r="C95" s="757"/>
      <c r="D95" s="622"/>
      <c r="E95" s="682"/>
      <c r="F95" s="682"/>
      <c r="G95" s="628"/>
      <c r="H95" s="630"/>
      <c r="I95" s="595"/>
      <c r="J95" s="592"/>
      <c r="K95" s="595"/>
      <c r="L95" s="592"/>
      <c r="M95" s="592"/>
      <c r="N95" s="571"/>
      <c r="O95" s="118" t="s">
        <v>216</v>
      </c>
      <c r="P95" s="123">
        <v>1</v>
      </c>
      <c r="Q95" s="550"/>
      <c r="R95" s="598"/>
      <c r="S95" s="677"/>
      <c r="T95" s="724"/>
      <c r="U95" s="90"/>
      <c r="V95" s="90"/>
      <c r="AA95" s="80" t="str">
        <f>AA94</f>
        <v>2-10-1</v>
      </c>
      <c r="AB95" s="317" t="str">
        <f>N94&amp;" - "&amp;O95</f>
        <v>نعم - يتم ذلك بشكل متكامل</v>
      </c>
      <c r="AC95" s="317" t="str">
        <f t="shared" si="7"/>
        <v>2-10-1-نعم - يتم ذلك بشكل متكامل</v>
      </c>
      <c r="AD95" s="319">
        <f t="shared" si="6"/>
        <v>1</v>
      </c>
      <c r="AE95" s="320">
        <f t="shared" si="11"/>
        <v>1</v>
      </c>
      <c r="AF95" s="320">
        <v>1</v>
      </c>
      <c r="AG95" s="321"/>
      <c r="AJ95" s="130"/>
    </row>
    <row r="96" spans="1:36" ht="23.25" x14ac:dyDescent="0.5">
      <c r="A96" s="751"/>
      <c r="B96" s="754"/>
      <c r="C96" s="757"/>
      <c r="D96" s="622"/>
      <c r="E96" s="682"/>
      <c r="F96" s="682"/>
      <c r="G96" s="628"/>
      <c r="H96" s="630"/>
      <c r="I96" s="92"/>
      <c r="J96" s="36"/>
      <c r="K96" s="92"/>
      <c r="L96" s="36"/>
      <c r="M96" s="39"/>
      <c r="N96" s="36"/>
      <c r="O96" s="39"/>
      <c r="P96" s="99"/>
      <c r="Q96" s="92"/>
      <c r="R96" s="97"/>
      <c r="S96" s="677"/>
      <c r="T96" s="724"/>
      <c r="U96" s="90"/>
      <c r="V96" s="90"/>
      <c r="AD96" s="319" t="str">
        <f t="shared" si="6"/>
        <v/>
      </c>
      <c r="AE96" s="320"/>
      <c r="AF96" s="320"/>
      <c r="AG96" s="321"/>
      <c r="AJ96" s="130"/>
    </row>
    <row r="97" spans="1:36" ht="23.25" x14ac:dyDescent="0.5">
      <c r="A97" s="751"/>
      <c r="B97" s="754"/>
      <c r="C97" s="757"/>
      <c r="D97" s="622"/>
      <c r="E97" s="682"/>
      <c r="F97" s="682"/>
      <c r="G97" s="628"/>
      <c r="H97" s="630"/>
      <c r="I97" s="595">
        <v>2</v>
      </c>
      <c r="J97" s="592" t="s">
        <v>224</v>
      </c>
      <c r="K97" s="595">
        <v>1</v>
      </c>
      <c r="L97" s="592" t="s">
        <v>140</v>
      </c>
      <c r="M97" s="592" t="s">
        <v>225</v>
      </c>
      <c r="N97" s="48" t="s">
        <v>125</v>
      </c>
      <c r="O97" s="48" t="s">
        <v>215</v>
      </c>
      <c r="P97" s="133" t="s">
        <v>2</v>
      </c>
      <c r="Q97" s="550">
        <v>100</v>
      </c>
      <c r="R97" s="598">
        <f>Q97*K97*0.01</f>
        <v>1</v>
      </c>
      <c r="S97" s="677"/>
      <c r="T97" s="724"/>
      <c r="U97" s="90"/>
      <c r="V97" s="90"/>
      <c r="AA97" s="80" t="s">
        <v>405</v>
      </c>
      <c r="AB97" s="317" t="str">
        <f>N97&amp;" - "&amp;O97</f>
        <v>لا  - لا يتم ذلك</v>
      </c>
      <c r="AC97" s="317" t="str">
        <f t="shared" si="7"/>
        <v>2-10-2-لا  - لا يتم ذلك</v>
      </c>
      <c r="AD97" s="319">
        <f t="shared" si="6"/>
        <v>0</v>
      </c>
      <c r="AE97" s="320">
        <f>IF(AD97="","",AD97*$R$97)</f>
        <v>0</v>
      </c>
      <c r="AF97" s="320">
        <v>1</v>
      </c>
      <c r="AG97" s="321"/>
      <c r="AJ97" s="130"/>
    </row>
    <row r="98" spans="1:36" ht="23.25" x14ac:dyDescent="0.5">
      <c r="A98" s="751"/>
      <c r="B98" s="754"/>
      <c r="C98" s="757"/>
      <c r="D98" s="622"/>
      <c r="E98" s="682"/>
      <c r="F98" s="682"/>
      <c r="G98" s="628"/>
      <c r="H98" s="630"/>
      <c r="I98" s="595"/>
      <c r="J98" s="592"/>
      <c r="K98" s="595"/>
      <c r="L98" s="592"/>
      <c r="M98" s="592"/>
      <c r="N98" s="571" t="s">
        <v>3</v>
      </c>
      <c r="O98" s="118" t="s">
        <v>220</v>
      </c>
      <c r="P98" s="133">
        <v>0.5</v>
      </c>
      <c r="Q98" s="550"/>
      <c r="R98" s="598"/>
      <c r="S98" s="677"/>
      <c r="T98" s="724"/>
      <c r="U98" s="90"/>
      <c r="V98" s="90"/>
      <c r="AA98" s="80" t="str">
        <f>AA97</f>
        <v>2-10-2</v>
      </c>
      <c r="AB98" s="317" t="str">
        <f>N98&amp;" - "&amp;O98</f>
        <v>نعم - يتم ذلك بشكل جزئي</v>
      </c>
      <c r="AC98" s="317" t="str">
        <f t="shared" si="7"/>
        <v>2-10-2-نعم - يتم ذلك بشكل جزئي</v>
      </c>
      <c r="AD98" s="319">
        <f t="shared" si="6"/>
        <v>0.5</v>
      </c>
      <c r="AE98" s="320">
        <f t="shared" ref="AE98:AE99" si="12">IF(AD98="","",AD98*$R$97)</f>
        <v>0.5</v>
      </c>
      <c r="AF98" s="320">
        <v>1</v>
      </c>
      <c r="AG98" s="321"/>
      <c r="AJ98" s="130"/>
    </row>
    <row r="99" spans="1:36" ht="23.25" x14ac:dyDescent="0.5">
      <c r="A99" s="751"/>
      <c r="B99" s="754"/>
      <c r="C99" s="757"/>
      <c r="D99" s="622"/>
      <c r="E99" s="683"/>
      <c r="F99" s="683"/>
      <c r="G99" s="628"/>
      <c r="H99" s="630"/>
      <c r="I99" s="595"/>
      <c r="J99" s="592"/>
      <c r="K99" s="595"/>
      <c r="L99" s="592"/>
      <c r="M99" s="592"/>
      <c r="N99" s="571"/>
      <c r="O99" s="118" t="s">
        <v>216</v>
      </c>
      <c r="P99" s="123">
        <v>1</v>
      </c>
      <c r="Q99" s="550"/>
      <c r="R99" s="598"/>
      <c r="S99" s="735"/>
      <c r="T99" s="724"/>
      <c r="U99" s="90"/>
      <c r="V99" s="90"/>
      <c r="AA99" s="80" t="str">
        <f>AA98</f>
        <v>2-10-2</v>
      </c>
      <c r="AB99" s="317" t="str">
        <f>N98&amp;" - "&amp;O99</f>
        <v>نعم - يتم ذلك بشكل متكامل</v>
      </c>
      <c r="AC99" s="317" t="str">
        <f t="shared" si="7"/>
        <v>2-10-2-نعم - يتم ذلك بشكل متكامل</v>
      </c>
      <c r="AD99" s="319">
        <f t="shared" si="6"/>
        <v>1</v>
      </c>
      <c r="AE99" s="320">
        <f t="shared" si="12"/>
        <v>1</v>
      </c>
      <c r="AF99" s="320">
        <v>1</v>
      </c>
      <c r="AG99" s="321"/>
      <c r="AJ99" s="130"/>
    </row>
    <row r="100" spans="1:36" ht="23.25" x14ac:dyDescent="0.5">
      <c r="A100" s="751"/>
      <c r="B100" s="754"/>
      <c r="C100" s="757"/>
      <c r="D100" s="622"/>
      <c r="E100" s="96"/>
      <c r="F100" s="97"/>
      <c r="G100" s="98"/>
      <c r="H100" s="97"/>
      <c r="I100" s="92"/>
      <c r="J100" s="36"/>
      <c r="K100" s="92"/>
      <c r="L100" s="36"/>
      <c r="M100" s="39"/>
      <c r="N100" s="36"/>
      <c r="O100" s="39"/>
      <c r="P100" s="99"/>
      <c r="Q100" s="92"/>
      <c r="R100" s="97"/>
      <c r="S100" s="96"/>
      <c r="T100" s="724"/>
      <c r="U100" s="90"/>
      <c r="V100" s="90"/>
      <c r="AD100" s="319" t="str">
        <f t="shared" si="6"/>
        <v/>
      </c>
      <c r="AE100" s="320"/>
      <c r="AF100" s="320"/>
      <c r="AG100" s="321"/>
      <c r="AJ100" s="130"/>
    </row>
    <row r="101" spans="1:36" ht="23.25" x14ac:dyDescent="0.5">
      <c r="A101" s="751"/>
      <c r="B101" s="754"/>
      <c r="C101" s="757"/>
      <c r="D101" s="622"/>
      <c r="E101" s="684">
        <v>11</v>
      </c>
      <c r="F101" s="684">
        <v>3</v>
      </c>
      <c r="G101" s="628" t="s">
        <v>38</v>
      </c>
      <c r="H101" s="630">
        <v>3</v>
      </c>
      <c r="I101" s="547">
        <v>1</v>
      </c>
      <c r="J101" s="545" t="s">
        <v>226</v>
      </c>
      <c r="K101" s="547">
        <v>3</v>
      </c>
      <c r="L101" s="545" t="s">
        <v>140</v>
      </c>
      <c r="M101" s="545" t="s">
        <v>227</v>
      </c>
      <c r="N101" s="120" t="s">
        <v>125</v>
      </c>
      <c r="O101" s="120" t="s">
        <v>215</v>
      </c>
      <c r="P101" s="121" t="s">
        <v>2</v>
      </c>
      <c r="Q101" s="550">
        <v>100</v>
      </c>
      <c r="R101" s="552">
        <f>Q101*K101*0.01</f>
        <v>3</v>
      </c>
      <c r="S101" s="732">
        <f>R101</f>
        <v>3</v>
      </c>
      <c r="T101" s="724"/>
      <c r="U101" s="90"/>
      <c r="V101" s="90"/>
      <c r="AA101" s="80" t="s">
        <v>406</v>
      </c>
      <c r="AB101" s="317" t="str">
        <f>N101&amp;" - "&amp;O101</f>
        <v>لا  - لا يتم ذلك</v>
      </c>
      <c r="AC101" s="317" t="str">
        <f t="shared" si="7"/>
        <v>2-11-1-لا  - لا يتم ذلك</v>
      </c>
      <c r="AD101" s="319">
        <f t="shared" si="6"/>
        <v>0</v>
      </c>
      <c r="AE101" s="320">
        <f>IF(AD101="","",AD101*$R$101)</f>
        <v>0</v>
      </c>
      <c r="AF101" s="320">
        <v>1</v>
      </c>
      <c r="AG101" s="321"/>
      <c r="AJ101" s="130"/>
    </row>
    <row r="102" spans="1:36" ht="23.25" x14ac:dyDescent="0.5">
      <c r="A102" s="751"/>
      <c r="B102" s="754"/>
      <c r="C102" s="757"/>
      <c r="D102" s="622"/>
      <c r="E102" s="682"/>
      <c r="F102" s="682"/>
      <c r="G102" s="628"/>
      <c r="H102" s="630"/>
      <c r="I102" s="547"/>
      <c r="J102" s="545"/>
      <c r="K102" s="547"/>
      <c r="L102" s="545"/>
      <c r="M102" s="545"/>
      <c r="N102" s="564" t="s">
        <v>3</v>
      </c>
      <c r="O102" s="128" t="s">
        <v>220</v>
      </c>
      <c r="P102" s="121">
        <v>0.5</v>
      </c>
      <c r="Q102" s="550"/>
      <c r="R102" s="552"/>
      <c r="S102" s="702"/>
      <c r="T102" s="724"/>
      <c r="U102" s="90"/>
      <c r="V102" s="90"/>
      <c r="AA102" s="80" t="str">
        <f>AA101</f>
        <v>2-11-1</v>
      </c>
      <c r="AB102" s="317" t="str">
        <f>N102&amp;" - "&amp;O102</f>
        <v>نعم - يتم ذلك بشكل جزئي</v>
      </c>
      <c r="AC102" s="317" t="str">
        <f t="shared" si="7"/>
        <v>2-11-1-نعم - يتم ذلك بشكل جزئي</v>
      </c>
      <c r="AD102" s="319">
        <f t="shared" si="6"/>
        <v>0.5</v>
      </c>
      <c r="AE102" s="320">
        <f t="shared" ref="AE102:AE103" si="13">IF(AD102="","",AD102*$R$101)</f>
        <v>1.5</v>
      </c>
      <c r="AF102" s="320">
        <v>1</v>
      </c>
      <c r="AG102" s="321"/>
      <c r="AJ102" s="130"/>
    </row>
    <row r="103" spans="1:36" ht="24" thickBot="1" x14ac:dyDescent="0.55000000000000004">
      <c r="A103" s="752"/>
      <c r="B103" s="755"/>
      <c r="C103" s="758"/>
      <c r="D103" s="623"/>
      <c r="E103" s="685"/>
      <c r="F103" s="685"/>
      <c r="G103" s="679"/>
      <c r="H103" s="631"/>
      <c r="I103" s="548"/>
      <c r="J103" s="546"/>
      <c r="K103" s="548"/>
      <c r="L103" s="546"/>
      <c r="M103" s="546"/>
      <c r="N103" s="644"/>
      <c r="O103" s="134" t="s">
        <v>216</v>
      </c>
      <c r="P103" s="135">
        <v>1</v>
      </c>
      <c r="Q103" s="562"/>
      <c r="R103" s="563"/>
      <c r="S103" s="733"/>
      <c r="T103" s="725"/>
      <c r="U103" s="90"/>
      <c r="V103" s="90"/>
      <c r="AA103" s="80" t="str">
        <f>AA102</f>
        <v>2-11-1</v>
      </c>
      <c r="AB103" s="317" t="str">
        <f>N102&amp;" - "&amp;O103</f>
        <v>نعم - يتم ذلك بشكل متكامل</v>
      </c>
      <c r="AC103" s="317" t="str">
        <f t="shared" si="7"/>
        <v>2-11-1-نعم - يتم ذلك بشكل متكامل</v>
      </c>
      <c r="AD103" s="319">
        <f t="shared" si="6"/>
        <v>1</v>
      </c>
      <c r="AE103" s="320">
        <f t="shared" si="13"/>
        <v>3</v>
      </c>
      <c r="AF103" s="320">
        <v>1</v>
      </c>
      <c r="AG103" s="321"/>
      <c r="AJ103" s="130"/>
    </row>
    <row r="104" spans="1:36" ht="37.5" thickBot="1" x14ac:dyDescent="0.55000000000000004">
      <c r="A104" s="107"/>
      <c r="B104" s="358"/>
      <c r="C104" s="107"/>
      <c r="D104" s="108"/>
      <c r="E104" s="109"/>
      <c r="F104" s="110"/>
      <c r="G104" s="111"/>
      <c r="H104" s="110"/>
      <c r="I104" s="112"/>
      <c r="J104" s="37"/>
      <c r="K104" s="112"/>
      <c r="L104" s="37"/>
      <c r="M104" s="38"/>
      <c r="N104" s="37"/>
      <c r="O104" s="38"/>
      <c r="P104" s="113"/>
      <c r="Q104" s="112"/>
      <c r="R104" s="110"/>
      <c r="S104" s="109"/>
      <c r="T104" s="110"/>
      <c r="U104" s="114"/>
      <c r="V104" s="114"/>
      <c r="AD104" s="319" t="str">
        <f t="shared" si="6"/>
        <v/>
      </c>
      <c r="AE104" s="320"/>
      <c r="AF104" s="320"/>
      <c r="AG104" s="321"/>
      <c r="AJ104" s="130"/>
    </row>
    <row r="105" spans="1:36" ht="23.25" x14ac:dyDescent="0.5">
      <c r="A105" s="704" t="s">
        <v>228</v>
      </c>
      <c r="B105" s="707">
        <v>3</v>
      </c>
      <c r="C105" s="710" t="s">
        <v>229</v>
      </c>
      <c r="D105" s="713">
        <v>0.1</v>
      </c>
      <c r="E105" s="585">
        <v>12</v>
      </c>
      <c r="F105" s="585">
        <v>4</v>
      </c>
      <c r="G105" s="697" t="s">
        <v>230</v>
      </c>
      <c r="H105" s="728">
        <v>4</v>
      </c>
      <c r="I105" s="632">
        <v>1</v>
      </c>
      <c r="J105" s="591" t="s">
        <v>231</v>
      </c>
      <c r="K105" s="632">
        <v>3</v>
      </c>
      <c r="L105" s="730" t="s">
        <v>140</v>
      </c>
      <c r="M105" s="591" t="s">
        <v>232</v>
      </c>
      <c r="N105" s="136" t="s">
        <v>125</v>
      </c>
      <c r="O105" s="136" t="s">
        <v>126</v>
      </c>
      <c r="P105" s="137" t="s">
        <v>2</v>
      </c>
      <c r="Q105" s="549">
        <v>100</v>
      </c>
      <c r="R105" s="734">
        <f>Q105*K105*0.01</f>
        <v>3</v>
      </c>
      <c r="S105" s="565">
        <f>SUM(R105:R109)</f>
        <v>4</v>
      </c>
      <c r="T105" s="693">
        <f>SUM(S105:S117)</f>
        <v>10</v>
      </c>
      <c r="U105" s="90"/>
      <c r="V105" s="90"/>
      <c r="AA105" s="80" t="s">
        <v>407</v>
      </c>
      <c r="AB105" s="317" t="str">
        <f>N105&amp;" - "&amp;O105</f>
        <v>لا  - لا توجد</v>
      </c>
      <c r="AC105" s="317" t="str">
        <f t="shared" si="7"/>
        <v>3-12-1-لا  - لا توجد</v>
      </c>
      <c r="AD105" s="319">
        <f t="shared" si="6"/>
        <v>0</v>
      </c>
      <c r="AE105" s="320">
        <f>IF(AD105="","",AD105*$R$105)</f>
        <v>0</v>
      </c>
      <c r="AF105" s="320">
        <v>1</v>
      </c>
      <c r="AG105" s="321"/>
      <c r="AJ105" s="130"/>
    </row>
    <row r="106" spans="1:36" ht="23.25" x14ac:dyDescent="0.5">
      <c r="A106" s="705"/>
      <c r="B106" s="708"/>
      <c r="C106" s="711"/>
      <c r="D106" s="714"/>
      <c r="E106" s="586"/>
      <c r="F106" s="586"/>
      <c r="G106" s="635"/>
      <c r="H106" s="729"/>
      <c r="I106" s="633"/>
      <c r="J106" s="571"/>
      <c r="K106" s="633"/>
      <c r="L106" s="571"/>
      <c r="M106" s="571"/>
      <c r="N106" s="48" t="s">
        <v>3</v>
      </c>
      <c r="O106" s="48" t="s">
        <v>233</v>
      </c>
      <c r="P106" s="133">
        <v>1</v>
      </c>
      <c r="Q106" s="660"/>
      <c r="R106" s="661"/>
      <c r="S106" s="566"/>
      <c r="T106" s="694"/>
      <c r="U106" s="90"/>
      <c r="V106" s="90"/>
      <c r="AA106" s="80" t="str">
        <f>AA105</f>
        <v>3-12-1</v>
      </c>
      <c r="AB106" s="317" t="str">
        <f>N106&amp;" - "&amp;O106</f>
        <v>نعم - يوجد</v>
      </c>
      <c r="AC106" s="317" t="str">
        <f t="shared" si="7"/>
        <v>3-12-1-نعم - يوجد</v>
      </c>
      <c r="AD106" s="319">
        <f t="shared" si="6"/>
        <v>1</v>
      </c>
      <c r="AE106" s="320">
        <f>IF(AD106="","",AD106*$R$105)</f>
        <v>3</v>
      </c>
      <c r="AF106" s="320">
        <v>1</v>
      </c>
      <c r="AG106" s="321"/>
      <c r="AJ106" s="130"/>
    </row>
    <row r="107" spans="1:36" ht="23.25" x14ac:dyDescent="0.5">
      <c r="A107" s="705"/>
      <c r="B107" s="708"/>
      <c r="C107" s="711"/>
      <c r="D107" s="714"/>
      <c r="E107" s="586"/>
      <c r="F107" s="586"/>
      <c r="G107" s="40"/>
      <c r="H107" s="729"/>
      <c r="I107" s="92"/>
      <c r="J107" s="36"/>
      <c r="K107" s="92"/>
      <c r="L107" s="36"/>
      <c r="M107" s="39"/>
      <c r="N107" s="36"/>
      <c r="O107" s="39"/>
      <c r="P107" s="99"/>
      <c r="Q107" s="92"/>
      <c r="R107" s="97"/>
      <c r="S107" s="566"/>
      <c r="T107" s="694"/>
      <c r="U107" s="90"/>
      <c r="V107" s="90"/>
      <c r="AD107" s="319" t="str">
        <f t="shared" si="6"/>
        <v/>
      </c>
      <c r="AE107" s="320"/>
      <c r="AF107" s="320"/>
      <c r="AG107" s="321"/>
      <c r="AJ107" s="130"/>
    </row>
    <row r="108" spans="1:36" ht="23.25" x14ac:dyDescent="0.5">
      <c r="A108" s="705"/>
      <c r="B108" s="708"/>
      <c r="C108" s="711"/>
      <c r="D108" s="714"/>
      <c r="E108" s="586"/>
      <c r="F108" s="586"/>
      <c r="G108" s="590" t="s">
        <v>234</v>
      </c>
      <c r="H108" s="729"/>
      <c r="I108" s="633">
        <v>2</v>
      </c>
      <c r="J108" s="592" t="s">
        <v>235</v>
      </c>
      <c r="K108" s="633">
        <v>1</v>
      </c>
      <c r="L108" s="571" t="s">
        <v>140</v>
      </c>
      <c r="M108" s="592" t="s">
        <v>236</v>
      </c>
      <c r="N108" s="48" t="s">
        <v>125</v>
      </c>
      <c r="O108" s="48" t="s">
        <v>145</v>
      </c>
      <c r="P108" s="138" t="s">
        <v>2</v>
      </c>
      <c r="Q108" s="550">
        <v>100</v>
      </c>
      <c r="R108" s="661">
        <f>Q108*K108*0.01</f>
        <v>1</v>
      </c>
      <c r="S108" s="566"/>
      <c r="T108" s="694"/>
      <c r="U108" s="90"/>
      <c r="V108" s="90"/>
      <c r="AA108" s="80" t="s">
        <v>408</v>
      </c>
      <c r="AB108" s="317" t="str">
        <f>N108&amp;" - "&amp;O108</f>
        <v>لا  - لم يتم ذلك</v>
      </c>
      <c r="AC108" s="317" t="str">
        <f t="shared" si="7"/>
        <v>3-12-2-لا  - لم يتم ذلك</v>
      </c>
      <c r="AD108" s="319">
        <f t="shared" si="6"/>
        <v>0</v>
      </c>
      <c r="AE108" s="320">
        <f>IF(AD108="","",AD108*$R$108)</f>
        <v>0</v>
      </c>
      <c r="AF108" s="320">
        <v>1</v>
      </c>
      <c r="AG108" s="321"/>
      <c r="AJ108" s="130"/>
    </row>
    <row r="109" spans="1:36" ht="23.25" x14ac:dyDescent="0.5">
      <c r="A109" s="705"/>
      <c r="B109" s="708"/>
      <c r="C109" s="711"/>
      <c r="D109" s="714"/>
      <c r="E109" s="586"/>
      <c r="F109" s="586"/>
      <c r="G109" s="635"/>
      <c r="H109" s="729"/>
      <c r="I109" s="633"/>
      <c r="J109" s="571"/>
      <c r="K109" s="633"/>
      <c r="L109" s="571"/>
      <c r="M109" s="571"/>
      <c r="N109" s="48" t="s">
        <v>3</v>
      </c>
      <c r="O109" s="48" t="s">
        <v>237</v>
      </c>
      <c r="P109" s="133">
        <v>1</v>
      </c>
      <c r="Q109" s="660"/>
      <c r="R109" s="661"/>
      <c r="S109" s="566"/>
      <c r="T109" s="694"/>
      <c r="U109" s="90"/>
      <c r="V109" s="90"/>
      <c r="AA109" s="80" t="str">
        <f>AA108</f>
        <v>3-12-2</v>
      </c>
      <c r="AB109" s="317" t="str">
        <f>N109&amp;" - "&amp;O109</f>
        <v>نعم - تم ذلك</v>
      </c>
      <c r="AC109" s="317" t="str">
        <f t="shared" si="7"/>
        <v>3-12-2-نعم - تم ذلك</v>
      </c>
      <c r="AD109" s="319">
        <f t="shared" si="6"/>
        <v>1</v>
      </c>
      <c r="AE109" s="320">
        <f>IF(AD109="","",AD109*$R$108)</f>
        <v>1</v>
      </c>
      <c r="AF109" s="320">
        <v>1</v>
      </c>
      <c r="AG109" s="321"/>
      <c r="AJ109" s="130"/>
    </row>
    <row r="110" spans="1:36" ht="23.25" x14ac:dyDescent="0.5">
      <c r="A110" s="705"/>
      <c r="B110" s="708"/>
      <c r="C110" s="711"/>
      <c r="D110" s="714"/>
      <c r="E110" s="96"/>
      <c r="F110" s="97"/>
      <c r="G110" s="98"/>
      <c r="H110" s="97"/>
      <c r="I110" s="92"/>
      <c r="J110" s="36"/>
      <c r="K110" s="92"/>
      <c r="L110" s="36"/>
      <c r="M110" s="39"/>
      <c r="N110" s="36"/>
      <c r="O110" s="39"/>
      <c r="P110" s="99"/>
      <c r="Q110" s="92"/>
      <c r="R110" s="97"/>
      <c r="S110" s="96"/>
      <c r="T110" s="694"/>
      <c r="U110" s="90"/>
      <c r="V110" s="90"/>
      <c r="AD110" s="319" t="str">
        <f t="shared" si="6"/>
        <v/>
      </c>
      <c r="AE110" s="320"/>
      <c r="AF110" s="320"/>
      <c r="AG110" s="321"/>
      <c r="AJ110" s="130"/>
    </row>
    <row r="111" spans="1:36" ht="23.25" x14ac:dyDescent="0.5">
      <c r="A111" s="705"/>
      <c r="B111" s="708"/>
      <c r="C111" s="711"/>
      <c r="D111" s="714"/>
      <c r="E111" s="610">
        <v>13</v>
      </c>
      <c r="F111" s="610">
        <v>2</v>
      </c>
      <c r="G111" s="590" t="s">
        <v>238</v>
      </c>
      <c r="H111" s="645">
        <v>2</v>
      </c>
      <c r="I111" s="547">
        <v>1</v>
      </c>
      <c r="J111" s="545" t="s">
        <v>239</v>
      </c>
      <c r="K111" s="547">
        <v>2</v>
      </c>
      <c r="L111" s="545" t="s">
        <v>140</v>
      </c>
      <c r="M111" s="545" t="s">
        <v>240</v>
      </c>
      <c r="N111" s="120" t="s">
        <v>125</v>
      </c>
      <c r="O111" s="120" t="s">
        <v>241</v>
      </c>
      <c r="P111" s="121" t="s">
        <v>2</v>
      </c>
      <c r="Q111" s="550">
        <v>100</v>
      </c>
      <c r="R111" s="552">
        <f>Q111*K111*0.01</f>
        <v>2</v>
      </c>
      <c r="S111" s="731">
        <f>R111</f>
        <v>2</v>
      </c>
      <c r="T111" s="694"/>
      <c r="U111" s="90"/>
      <c r="V111" s="90"/>
      <c r="AA111" s="80" t="s">
        <v>409</v>
      </c>
      <c r="AB111" s="317" t="str">
        <f>N111&amp;" - "&amp;O111</f>
        <v>لا  - غير متحققة</v>
      </c>
      <c r="AC111" s="317" t="str">
        <f t="shared" si="7"/>
        <v>3-13-1-لا  - غير متحققة</v>
      </c>
      <c r="AD111" s="319">
        <f t="shared" si="6"/>
        <v>0</v>
      </c>
      <c r="AE111" s="320">
        <f>IF(AD111="","",AD111*$R$111)</f>
        <v>0</v>
      </c>
      <c r="AF111" s="320">
        <v>1</v>
      </c>
      <c r="AG111" s="321"/>
      <c r="AJ111" s="130"/>
    </row>
    <row r="112" spans="1:36" ht="23.25" x14ac:dyDescent="0.5">
      <c r="A112" s="705"/>
      <c r="B112" s="708"/>
      <c r="C112" s="711"/>
      <c r="D112" s="714"/>
      <c r="E112" s="717"/>
      <c r="F112" s="717"/>
      <c r="G112" s="726"/>
      <c r="H112" s="699"/>
      <c r="I112" s="547"/>
      <c r="J112" s="545"/>
      <c r="K112" s="547"/>
      <c r="L112" s="545"/>
      <c r="M112" s="545"/>
      <c r="N112" s="564" t="s">
        <v>3</v>
      </c>
      <c r="O112" s="128" t="s">
        <v>242</v>
      </c>
      <c r="P112" s="121">
        <v>0.5</v>
      </c>
      <c r="Q112" s="550"/>
      <c r="R112" s="552"/>
      <c r="S112" s="668"/>
      <c r="T112" s="694"/>
      <c r="U112" s="90"/>
      <c r="V112" s="90"/>
      <c r="AA112" s="80" t="str">
        <f>AA111</f>
        <v>3-13-1</v>
      </c>
      <c r="AB112" s="317" t="str">
        <f>N112&amp;" - "&amp;O112</f>
        <v>نعم - متحققة بشكل جزئي</v>
      </c>
      <c r="AC112" s="317" t="str">
        <f t="shared" si="7"/>
        <v>3-13-1-نعم - متحققة بشكل جزئي</v>
      </c>
      <c r="AD112" s="319">
        <f t="shared" si="6"/>
        <v>0.5</v>
      </c>
      <c r="AE112" s="320">
        <f t="shared" ref="AE112:AE113" si="14">IF(AD112="","",AD112*$R$111)</f>
        <v>1</v>
      </c>
      <c r="AF112" s="320">
        <v>1</v>
      </c>
      <c r="AG112" s="321"/>
      <c r="AJ112" s="130"/>
    </row>
    <row r="113" spans="1:36" ht="23.25" x14ac:dyDescent="0.5">
      <c r="A113" s="705"/>
      <c r="B113" s="708"/>
      <c r="C113" s="711"/>
      <c r="D113" s="714"/>
      <c r="E113" s="611"/>
      <c r="F113" s="611"/>
      <c r="G113" s="635"/>
      <c r="H113" s="636"/>
      <c r="I113" s="547"/>
      <c r="J113" s="545"/>
      <c r="K113" s="547"/>
      <c r="L113" s="545"/>
      <c r="M113" s="545"/>
      <c r="N113" s="564"/>
      <c r="O113" s="128" t="s">
        <v>243</v>
      </c>
      <c r="P113" s="129">
        <v>1</v>
      </c>
      <c r="Q113" s="550"/>
      <c r="R113" s="552"/>
      <c r="S113" s="642"/>
      <c r="T113" s="694"/>
      <c r="U113" s="90"/>
      <c r="V113" s="90"/>
      <c r="AA113" s="80" t="str">
        <f>AA112</f>
        <v>3-13-1</v>
      </c>
      <c r="AB113" s="317" t="str">
        <f>N112&amp;" - "&amp;O113</f>
        <v>نعم - متحققة بشكل متكامل</v>
      </c>
      <c r="AC113" s="317" t="str">
        <f t="shared" si="7"/>
        <v>3-13-1-نعم - متحققة بشكل متكامل</v>
      </c>
      <c r="AD113" s="319">
        <f t="shared" si="6"/>
        <v>1</v>
      </c>
      <c r="AE113" s="320">
        <f t="shared" si="14"/>
        <v>2</v>
      </c>
      <c r="AF113" s="320">
        <v>1</v>
      </c>
      <c r="AG113" s="321"/>
      <c r="AJ113" s="130"/>
    </row>
    <row r="114" spans="1:36" ht="23.25" x14ac:dyDescent="0.5">
      <c r="A114" s="705"/>
      <c r="B114" s="708"/>
      <c r="C114" s="711"/>
      <c r="D114" s="714"/>
      <c r="E114" s="96"/>
      <c r="F114" s="97"/>
      <c r="G114" s="98"/>
      <c r="H114" s="97"/>
      <c r="I114" s="92"/>
      <c r="J114" s="36"/>
      <c r="K114" s="92"/>
      <c r="L114" s="36"/>
      <c r="M114" s="39"/>
      <c r="N114" s="36"/>
      <c r="O114" s="39"/>
      <c r="P114" s="99"/>
      <c r="Q114" s="92"/>
      <c r="R114" s="97"/>
      <c r="S114" s="96"/>
      <c r="T114" s="694"/>
      <c r="U114" s="90"/>
      <c r="V114" s="90"/>
      <c r="AD114" s="319" t="str">
        <f t="shared" si="6"/>
        <v/>
      </c>
      <c r="AE114" s="320"/>
      <c r="AF114" s="320"/>
      <c r="AG114" s="321"/>
      <c r="AJ114" s="130"/>
    </row>
    <row r="115" spans="1:36" ht="23.25" x14ac:dyDescent="0.5">
      <c r="A115" s="705"/>
      <c r="B115" s="708"/>
      <c r="C115" s="711"/>
      <c r="D115" s="714"/>
      <c r="E115" s="610">
        <v>14</v>
      </c>
      <c r="F115" s="610">
        <v>4</v>
      </c>
      <c r="G115" s="590" t="s">
        <v>244</v>
      </c>
      <c r="H115" s="645">
        <v>4</v>
      </c>
      <c r="I115" s="595">
        <v>1</v>
      </c>
      <c r="J115" s="592" t="s">
        <v>245</v>
      </c>
      <c r="K115" s="595">
        <v>4</v>
      </c>
      <c r="L115" s="592" t="s">
        <v>140</v>
      </c>
      <c r="M115" s="592" t="s">
        <v>246</v>
      </c>
      <c r="N115" s="48" t="s">
        <v>125</v>
      </c>
      <c r="O115" s="48" t="s">
        <v>215</v>
      </c>
      <c r="P115" s="133" t="s">
        <v>2</v>
      </c>
      <c r="Q115" s="550">
        <v>100</v>
      </c>
      <c r="R115" s="598">
        <f>Q115*K115*0.01</f>
        <v>4</v>
      </c>
      <c r="S115" s="639">
        <f>R115</f>
        <v>4</v>
      </c>
      <c r="T115" s="694"/>
      <c r="U115" s="90"/>
      <c r="V115" s="90"/>
      <c r="AA115" s="80" t="s">
        <v>410</v>
      </c>
      <c r="AB115" s="317" t="str">
        <f>N115&amp;" - "&amp;O115</f>
        <v>لا  - لا يتم ذلك</v>
      </c>
      <c r="AC115" s="317" t="str">
        <f t="shared" si="7"/>
        <v>3-14-1-لا  - لا يتم ذلك</v>
      </c>
      <c r="AD115" s="319">
        <f t="shared" si="6"/>
        <v>0</v>
      </c>
      <c r="AE115" s="320">
        <f>IF(AD115="","",AD115*$R$115)</f>
        <v>0</v>
      </c>
      <c r="AF115" s="320">
        <v>1</v>
      </c>
      <c r="AG115" s="321"/>
      <c r="AJ115" s="130"/>
    </row>
    <row r="116" spans="1:36" ht="23.25" x14ac:dyDescent="0.5">
      <c r="A116" s="705"/>
      <c r="B116" s="708"/>
      <c r="C116" s="711"/>
      <c r="D116" s="714"/>
      <c r="E116" s="717"/>
      <c r="F116" s="717"/>
      <c r="G116" s="726"/>
      <c r="H116" s="699"/>
      <c r="I116" s="595"/>
      <c r="J116" s="592"/>
      <c r="K116" s="595"/>
      <c r="L116" s="592"/>
      <c r="M116" s="592"/>
      <c r="N116" s="571" t="s">
        <v>3</v>
      </c>
      <c r="O116" s="118" t="s">
        <v>220</v>
      </c>
      <c r="P116" s="133">
        <v>0.5</v>
      </c>
      <c r="Q116" s="550"/>
      <c r="R116" s="598"/>
      <c r="S116" s="677"/>
      <c r="T116" s="694"/>
      <c r="U116" s="90"/>
      <c r="V116" s="90"/>
      <c r="AA116" s="80" t="str">
        <f>AA115</f>
        <v>3-14-1</v>
      </c>
      <c r="AB116" s="317" t="str">
        <f>N116&amp;" - "&amp;O116</f>
        <v>نعم - يتم ذلك بشكل جزئي</v>
      </c>
      <c r="AC116" s="317" t="str">
        <f t="shared" si="7"/>
        <v>3-14-1-نعم - يتم ذلك بشكل جزئي</v>
      </c>
      <c r="AD116" s="319">
        <f t="shared" si="6"/>
        <v>0.5</v>
      </c>
      <c r="AE116" s="320">
        <f t="shared" ref="AE116:AE117" si="15">IF(AD116="","",AD116*$R$115)</f>
        <v>2</v>
      </c>
      <c r="AF116" s="320">
        <v>1</v>
      </c>
      <c r="AG116" s="321"/>
      <c r="AJ116" s="130"/>
    </row>
    <row r="117" spans="1:36" ht="24" thickBot="1" x14ac:dyDescent="0.55000000000000004">
      <c r="A117" s="706"/>
      <c r="B117" s="709"/>
      <c r="C117" s="712"/>
      <c r="D117" s="715"/>
      <c r="E117" s="718"/>
      <c r="F117" s="718"/>
      <c r="G117" s="727"/>
      <c r="H117" s="700"/>
      <c r="I117" s="596"/>
      <c r="J117" s="593"/>
      <c r="K117" s="596"/>
      <c r="L117" s="593"/>
      <c r="M117" s="593"/>
      <c r="N117" s="572"/>
      <c r="O117" s="139" t="s">
        <v>216</v>
      </c>
      <c r="P117" s="140">
        <v>1</v>
      </c>
      <c r="Q117" s="562"/>
      <c r="R117" s="599"/>
      <c r="S117" s="678"/>
      <c r="T117" s="695"/>
      <c r="U117" s="90"/>
      <c r="V117" s="90"/>
      <c r="AA117" s="80" t="str">
        <f>AA116</f>
        <v>3-14-1</v>
      </c>
      <c r="AB117" s="317" t="str">
        <f>N116&amp;" - "&amp;O117</f>
        <v>نعم - يتم ذلك بشكل متكامل</v>
      </c>
      <c r="AC117" s="317" t="str">
        <f t="shared" si="7"/>
        <v>3-14-1-نعم - يتم ذلك بشكل متكامل</v>
      </c>
      <c r="AD117" s="319">
        <f t="shared" si="6"/>
        <v>1</v>
      </c>
      <c r="AE117" s="320">
        <f t="shared" si="15"/>
        <v>4</v>
      </c>
      <c r="AF117" s="320">
        <v>1</v>
      </c>
      <c r="AG117" s="321"/>
      <c r="AJ117" s="130"/>
    </row>
    <row r="118" spans="1:36" ht="37.5" collapsed="1" thickBot="1" x14ac:dyDescent="0.55000000000000004">
      <c r="A118" s="107"/>
      <c r="B118" s="358"/>
      <c r="C118" s="107"/>
      <c r="D118" s="108"/>
      <c r="E118" s="109"/>
      <c r="F118" s="110"/>
      <c r="G118" s="111"/>
      <c r="H118" s="110"/>
      <c r="I118" s="112"/>
      <c r="J118" s="37"/>
      <c r="K118" s="112"/>
      <c r="L118" s="37"/>
      <c r="M118" s="38"/>
      <c r="N118" s="37"/>
      <c r="O118" s="38"/>
      <c r="P118" s="113"/>
      <c r="Q118" s="112"/>
      <c r="R118" s="110"/>
      <c r="S118" s="109"/>
      <c r="T118" s="110"/>
      <c r="U118" s="114"/>
      <c r="V118" s="114"/>
      <c r="AD118" s="319" t="str">
        <f t="shared" si="6"/>
        <v/>
      </c>
      <c r="AE118" s="320"/>
      <c r="AF118" s="320"/>
      <c r="AG118" s="321"/>
      <c r="AJ118" s="130"/>
    </row>
    <row r="119" spans="1:36" ht="23.25" x14ac:dyDescent="0.5">
      <c r="A119" s="612" t="s">
        <v>247</v>
      </c>
      <c r="B119" s="615">
        <v>4</v>
      </c>
      <c r="C119" s="618" t="s">
        <v>248</v>
      </c>
      <c r="D119" s="621">
        <v>0.06</v>
      </c>
      <c r="E119" s="681">
        <v>15</v>
      </c>
      <c r="F119" s="681">
        <v>3</v>
      </c>
      <c r="G119" s="627" t="s">
        <v>249</v>
      </c>
      <c r="H119" s="629">
        <v>3</v>
      </c>
      <c r="I119" s="556">
        <v>1</v>
      </c>
      <c r="J119" s="558" t="s">
        <v>250</v>
      </c>
      <c r="K119" s="560">
        <v>2</v>
      </c>
      <c r="L119" s="558" t="s">
        <v>251</v>
      </c>
      <c r="M119" s="558" t="s">
        <v>252</v>
      </c>
      <c r="N119" s="136" t="s">
        <v>125</v>
      </c>
      <c r="O119" s="136" t="s">
        <v>126</v>
      </c>
      <c r="P119" s="141">
        <v>1</v>
      </c>
      <c r="Q119" s="550">
        <v>100</v>
      </c>
      <c r="R119" s="552">
        <f>Q119*K119*0.01</f>
        <v>2</v>
      </c>
      <c r="S119" s="701">
        <f>SUM(R119:R127)</f>
        <v>3</v>
      </c>
      <c r="T119" s="723">
        <f>SUM(S119:S142)</f>
        <v>6</v>
      </c>
      <c r="U119" s="90"/>
      <c r="V119" s="90"/>
      <c r="AA119" s="80" t="s">
        <v>411</v>
      </c>
      <c r="AB119" s="317" t="str">
        <f>N119&amp;" - "&amp;O119</f>
        <v>لا  - لا توجد</v>
      </c>
      <c r="AC119" s="317" t="str">
        <f t="shared" si="7"/>
        <v>4-15-1-لا  - لا توجد</v>
      </c>
      <c r="AD119" s="319">
        <f t="shared" si="6"/>
        <v>1</v>
      </c>
      <c r="AE119" s="320">
        <f>IF(AD119="","",AD119+1*$R$119)</f>
        <v>3</v>
      </c>
      <c r="AF119" s="320">
        <v>1</v>
      </c>
      <c r="AG119" s="321"/>
      <c r="AJ119" s="130"/>
    </row>
    <row r="120" spans="1:36" ht="23.25" x14ac:dyDescent="0.5">
      <c r="A120" s="613"/>
      <c r="B120" s="616"/>
      <c r="C120" s="619"/>
      <c r="D120" s="622"/>
      <c r="E120" s="682"/>
      <c r="F120" s="682"/>
      <c r="G120" s="628"/>
      <c r="H120" s="630"/>
      <c r="I120" s="543"/>
      <c r="J120" s="545"/>
      <c r="K120" s="547"/>
      <c r="L120" s="545"/>
      <c r="M120" s="545"/>
      <c r="N120" s="120" t="s">
        <v>3</v>
      </c>
      <c r="O120" s="564" t="s">
        <v>14</v>
      </c>
      <c r="P120" s="643"/>
      <c r="Q120" s="550"/>
      <c r="R120" s="552"/>
      <c r="S120" s="702"/>
      <c r="T120" s="724"/>
      <c r="U120" s="90"/>
      <c r="V120" s="90"/>
      <c r="AA120" s="80" t="str">
        <f>AA119</f>
        <v>4-15-1</v>
      </c>
      <c r="AB120" s="317" t="str">
        <f>N120&amp;" - "&amp;O120</f>
        <v>نعم - يتم الانتقال إلى السؤال التالي</v>
      </c>
      <c r="AC120" s="317" t="str">
        <f t="shared" si="7"/>
        <v>4-15-1-نعم - يتم الانتقال إلى السؤال التالي</v>
      </c>
      <c r="AD120" s="319" t="str">
        <f t="shared" si="6"/>
        <v/>
      </c>
      <c r="AE120" s="320" t="s">
        <v>374</v>
      </c>
      <c r="AF120" s="320">
        <v>1</v>
      </c>
      <c r="AG120" s="321"/>
      <c r="AJ120" s="130"/>
    </row>
    <row r="121" spans="1:36" ht="23.25" x14ac:dyDescent="0.5">
      <c r="A121" s="613"/>
      <c r="B121" s="616"/>
      <c r="C121" s="619"/>
      <c r="D121" s="622"/>
      <c r="E121" s="682"/>
      <c r="F121" s="682"/>
      <c r="G121" s="628"/>
      <c r="H121" s="630"/>
      <c r="I121" s="92"/>
      <c r="J121" s="36"/>
      <c r="K121" s="547"/>
      <c r="L121" s="39"/>
      <c r="M121" s="36"/>
      <c r="N121" s="39"/>
      <c r="O121" s="36"/>
      <c r="P121" s="93"/>
      <c r="Q121" s="550"/>
      <c r="R121" s="552"/>
      <c r="S121" s="702"/>
      <c r="T121" s="724"/>
      <c r="U121" s="90"/>
      <c r="V121" s="90"/>
      <c r="AD121" s="319" t="str">
        <f t="shared" si="6"/>
        <v/>
      </c>
      <c r="AE121" s="320"/>
      <c r="AF121" s="320"/>
      <c r="AG121" s="321"/>
      <c r="AJ121" s="130"/>
    </row>
    <row r="122" spans="1:36" ht="23.25" x14ac:dyDescent="0.5">
      <c r="A122" s="613"/>
      <c r="B122" s="616"/>
      <c r="C122" s="619"/>
      <c r="D122" s="622"/>
      <c r="E122" s="682"/>
      <c r="F122" s="682"/>
      <c r="G122" s="628"/>
      <c r="H122" s="630"/>
      <c r="I122" s="543">
        <v>2</v>
      </c>
      <c r="J122" s="545" t="s">
        <v>253</v>
      </c>
      <c r="K122" s="547"/>
      <c r="L122" s="545" t="s">
        <v>140</v>
      </c>
      <c r="M122" s="545" t="s">
        <v>254</v>
      </c>
      <c r="N122" s="120" t="s">
        <v>125</v>
      </c>
      <c r="O122" s="120" t="s">
        <v>193</v>
      </c>
      <c r="P122" s="142" t="s">
        <v>2</v>
      </c>
      <c r="Q122" s="550"/>
      <c r="R122" s="552"/>
      <c r="S122" s="702"/>
      <c r="T122" s="724"/>
      <c r="U122" s="90"/>
      <c r="V122" s="90"/>
      <c r="AA122" s="80" t="s">
        <v>412</v>
      </c>
      <c r="AB122" s="317" t="str">
        <f>N122&amp;" - "&amp;O122</f>
        <v xml:space="preserve">لا  - لا توجد </v>
      </c>
      <c r="AC122" s="317" t="str">
        <f t="shared" si="7"/>
        <v xml:space="preserve">4-15-2-لا  - لا توجد </v>
      </c>
      <c r="AD122" s="319">
        <f t="shared" si="6"/>
        <v>0</v>
      </c>
      <c r="AE122" s="320">
        <f t="shared" ref="AE122:AE123" si="16">IF(AD122="","",AD122*$R$119)</f>
        <v>0</v>
      </c>
      <c r="AF122" s="320">
        <v>1</v>
      </c>
      <c r="AG122" s="321"/>
      <c r="AJ122" s="130"/>
    </row>
    <row r="123" spans="1:36" ht="23.25" x14ac:dyDescent="0.5">
      <c r="A123" s="613"/>
      <c r="B123" s="616"/>
      <c r="C123" s="619"/>
      <c r="D123" s="622"/>
      <c r="E123" s="682"/>
      <c r="F123" s="682"/>
      <c r="G123" s="628" t="s">
        <v>255</v>
      </c>
      <c r="H123" s="630"/>
      <c r="I123" s="543"/>
      <c r="J123" s="545"/>
      <c r="K123" s="547"/>
      <c r="L123" s="545"/>
      <c r="M123" s="545"/>
      <c r="N123" s="120" t="s">
        <v>3</v>
      </c>
      <c r="O123" s="120" t="s">
        <v>194</v>
      </c>
      <c r="P123" s="142">
        <v>1</v>
      </c>
      <c r="Q123" s="550"/>
      <c r="R123" s="552"/>
      <c r="S123" s="702"/>
      <c r="T123" s="724"/>
      <c r="U123" s="90"/>
      <c r="V123" s="90"/>
      <c r="AA123" s="80" t="str">
        <f>AA122</f>
        <v>4-15-2</v>
      </c>
      <c r="AB123" s="317" t="str">
        <f>N123&amp;" - "&amp;O123</f>
        <v>نعم - توجد</v>
      </c>
      <c r="AC123" s="317" t="str">
        <f t="shared" si="7"/>
        <v>4-15-2-نعم - توجد</v>
      </c>
      <c r="AD123" s="319">
        <f t="shared" si="6"/>
        <v>1</v>
      </c>
      <c r="AE123" s="320">
        <f t="shared" si="16"/>
        <v>2</v>
      </c>
      <c r="AF123" s="320">
        <v>1</v>
      </c>
      <c r="AG123" s="321"/>
      <c r="AJ123" s="130"/>
    </row>
    <row r="124" spans="1:36" ht="23.25" x14ac:dyDescent="0.5">
      <c r="A124" s="613"/>
      <c r="B124" s="616"/>
      <c r="C124" s="619"/>
      <c r="D124" s="622"/>
      <c r="E124" s="682"/>
      <c r="F124" s="682"/>
      <c r="G124" s="628"/>
      <c r="H124" s="630"/>
      <c r="I124" s="92"/>
      <c r="J124" s="36"/>
      <c r="K124" s="92"/>
      <c r="L124" s="36"/>
      <c r="M124" s="39"/>
      <c r="N124" s="36"/>
      <c r="O124" s="39"/>
      <c r="P124" s="99"/>
      <c r="Q124" s="92"/>
      <c r="R124" s="97"/>
      <c r="S124" s="702"/>
      <c r="T124" s="724"/>
      <c r="U124" s="90"/>
      <c r="V124" s="90"/>
      <c r="AD124" s="319" t="str">
        <f t="shared" si="6"/>
        <v/>
      </c>
      <c r="AE124" s="320"/>
      <c r="AF124" s="320"/>
      <c r="AG124" s="321"/>
      <c r="AJ124" s="130"/>
    </row>
    <row r="125" spans="1:36" ht="23.25" x14ac:dyDescent="0.5">
      <c r="A125" s="613"/>
      <c r="B125" s="616"/>
      <c r="C125" s="619"/>
      <c r="D125" s="622"/>
      <c r="E125" s="682"/>
      <c r="F125" s="682"/>
      <c r="G125" s="628"/>
      <c r="H125" s="630"/>
      <c r="I125" s="543">
        <v>3</v>
      </c>
      <c r="J125" s="545" t="s">
        <v>256</v>
      </c>
      <c r="K125" s="547">
        <v>1</v>
      </c>
      <c r="L125" s="545" t="s">
        <v>140</v>
      </c>
      <c r="M125" s="545" t="s">
        <v>257</v>
      </c>
      <c r="N125" s="120" t="s">
        <v>125</v>
      </c>
      <c r="O125" s="120" t="s">
        <v>193</v>
      </c>
      <c r="P125" s="121" t="s">
        <v>2</v>
      </c>
      <c r="Q125" s="550">
        <v>100</v>
      </c>
      <c r="R125" s="722">
        <f>Q125*K125*0.01</f>
        <v>1</v>
      </c>
      <c r="S125" s="702"/>
      <c r="T125" s="724"/>
      <c r="U125" s="90"/>
      <c r="V125" s="90"/>
      <c r="AA125" s="80" t="s">
        <v>413</v>
      </c>
      <c r="AB125" s="317" t="str">
        <f>N125&amp;" - "&amp;O125</f>
        <v xml:space="preserve">لا  - لا توجد </v>
      </c>
      <c r="AC125" s="317" t="str">
        <f t="shared" si="7"/>
        <v xml:space="preserve">4-15-3-لا  - لا توجد </v>
      </c>
      <c r="AD125" s="319">
        <f t="shared" si="6"/>
        <v>0</v>
      </c>
      <c r="AE125" s="320">
        <f>IF(AD125="","",AD125*$R$125)</f>
        <v>0</v>
      </c>
      <c r="AF125" s="320">
        <v>1</v>
      </c>
      <c r="AG125" s="321"/>
      <c r="AJ125" s="130"/>
    </row>
    <row r="126" spans="1:36" ht="23.25" x14ac:dyDescent="0.5">
      <c r="A126" s="613"/>
      <c r="B126" s="616"/>
      <c r="C126" s="619"/>
      <c r="D126" s="622"/>
      <c r="E126" s="682"/>
      <c r="F126" s="682"/>
      <c r="G126" s="628"/>
      <c r="H126" s="630"/>
      <c r="I126" s="543"/>
      <c r="J126" s="545"/>
      <c r="K126" s="547"/>
      <c r="L126" s="545"/>
      <c r="M126" s="545"/>
      <c r="N126" s="564" t="s">
        <v>3</v>
      </c>
      <c r="O126" s="120" t="s">
        <v>258</v>
      </c>
      <c r="P126" s="121">
        <v>0.5</v>
      </c>
      <c r="Q126" s="550"/>
      <c r="R126" s="722"/>
      <c r="S126" s="702"/>
      <c r="T126" s="724"/>
      <c r="U126" s="90"/>
      <c r="V126" s="90"/>
      <c r="AA126" s="80" t="str">
        <f>AA125</f>
        <v>4-15-3</v>
      </c>
      <c r="AB126" s="317" t="str">
        <f>N126&amp;" - "&amp;O126</f>
        <v xml:space="preserve">نعم - توجد بشكل جزئي </v>
      </c>
      <c r="AC126" s="317" t="str">
        <f t="shared" si="7"/>
        <v xml:space="preserve">4-15-3-نعم - توجد بشكل جزئي </v>
      </c>
      <c r="AD126" s="319">
        <f t="shared" si="6"/>
        <v>0.5</v>
      </c>
      <c r="AE126" s="320">
        <f t="shared" ref="AE126:AE127" si="17">IF(AD126="","",AD126*$R$125)</f>
        <v>0.5</v>
      </c>
      <c r="AF126" s="320">
        <v>1</v>
      </c>
      <c r="AG126" s="321"/>
      <c r="AJ126" s="130"/>
    </row>
    <row r="127" spans="1:36" ht="23.25" x14ac:dyDescent="0.5">
      <c r="A127" s="613"/>
      <c r="B127" s="616"/>
      <c r="C127" s="619"/>
      <c r="D127" s="622"/>
      <c r="E127" s="683"/>
      <c r="F127" s="683"/>
      <c r="G127" s="628"/>
      <c r="H127" s="630"/>
      <c r="I127" s="543"/>
      <c r="J127" s="545"/>
      <c r="K127" s="547"/>
      <c r="L127" s="545"/>
      <c r="M127" s="545"/>
      <c r="N127" s="564"/>
      <c r="O127" s="120" t="s">
        <v>17</v>
      </c>
      <c r="P127" s="121">
        <v>1</v>
      </c>
      <c r="Q127" s="550"/>
      <c r="R127" s="722"/>
      <c r="S127" s="703"/>
      <c r="T127" s="724"/>
      <c r="U127" s="90"/>
      <c r="V127" s="90"/>
      <c r="AA127" s="80" t="str">
        <f>AA126</f>
        <v>4-15-3</v>
      </c>
      <c r="AB127" s="317" t="str">
        <f>N126&amp;" - "&amp;O127</f>
        <v>نعم - توجد بشكل متكامل</v>
      </c>
      <c r="AC127" s="317" t="str">
        <f t="shared" si="7"/>
        <v>4-15-3-نعم - توجد بشكل متكامل</v>
      </c>
      <c r="AD127" s="319">
        <f t="shared" si="6"/>
        <v>1</v>
      </c>
      <c r="AE127" s="320">
        <f t="shared" si="17"/>
        <v>1</v>
      </c>
      <c r="AF127" s="320">
        <v>1</v>
      </c>
      <c r="AG127" s="321"/>
      <c r="AJ127" s="130"/>
    </row>
    <row r="128" spans="1:36" ht="23.25" x14ac:dyDescent="0.5">
      <c r="A128" s="613"/>
      <c r="B128" s="616"/>
      <c r="C128" s="619"/>
      <c r="D128" s="622"/>
      <c r="E128" s="96"/>
      <c r="F128" s="97"/>
      <c r="G128" s="98"/>
      <c r="H128" s="97"/>
      <c r="I128" s="92"/>
      <c r="J128" s="36"/>
      <c r="K128" s="92"/>
      <c r="L128" s="36"/>
      <c r="M128" s="39"/>
      <c r="N128" s="36"/>
      <c r="O128" s="39"/>
      <c r="P128" s="99"/>
      <c r="Q128" s="92"/>
      <c r="R128" s="97"/>
      <c r="S128" s="96"/>
      <c r="T128" s="724"/>
      <c r="U128" s="90"/>
      <c r="V128" s="90"/>
      <c r="AD128" s="319" t="str">
        <f t="shared" si="6"/>
        <v/>
      </c>
      <c r="AE128" s="320"/>
      <c r="AF128" s="320"/>
      <c r="AG128" s="321"/>
      <c r="AJ128" s="130"/>
    </row>
    <row r="129" spans="1:36" ht="23.25" x14ac:dyDescent="0.5">
      <c r="A129" s="613"/>
      <c r="B129" s="616"/>
      <c r="C129" s="619"/>
      <c r="D129" s="622"/>
      <c r="E129" s="684">
        <v>16</v>
      </c>
      <c r="F129" s="684">
        <v>3</v>
      </c>
      <c r="G129" s="628" t="s">
        <v>259</v>
      </c>
      <c r="H129" s="630">
        <v>3</v>
      </c>
      <c r="I129" s="633">
        <v>1</v>
      </c>
      <c r="J129" s="592" t="s">
        <v>260</v>
      </c>
      <c r="K129" s="633">
        <v>1</v>
      </c>
      <c r="L129" s="571" t="s">
        <v>140</v>
      </c>
      <c r="M129" s="592" t="s">
        <v>261</v>
      </c>
      <c r="N129" s="48" t="s">
        <v>125</v>
      </c>
      <c r="O129" s="48" t="s">
        <v>262</v>
      </c>
      <c r="P129" s="133">
        <v>1</v>
      </c>
      <c r="Q129" s="550">
        <v>100</v>
      </c>
      <c r="R129" s="661">
        <f>Q129*K129*0.01</f>
        <v>1</v>
      </c>
      <c r="S129" s="639">
        <f>SUM(R129:R142)</f>
        <v>3</v>
      </c>
      <c r="T129" s="724"/>
      <c r="U129" s="90"/>
      <c r="V129" s="90"/>
      <c r="AA129" s="80" t="s">
        <v>414</v>
      </c>
      <c r="AB129" s="317" t="str">
        <f>N129&amp;" - "&amp;O129</f>
        <v>لا  - لا توجد أنشطة خارج أهداف المؤسسة</v>
      </c>
      <c r="AC129" s="317" t="str">
        <f t="shared" si="7"/>
        <v>4-16-1-لا  - لا توجد أنشطة خارج أهداف المؤسسة</v>
      </c>
      <c r="AD129" s="319">
        <f t="shared" si="6"/>
        <v>1</v>
      </c>
      <c r="AE129" s="320">
        <f>IF(AD129="","",AD129*$R$129)</f>
        <v>1</v>
      </c>
      <c r="AF129" s="320">
        <v>1</v>
      </c>
      <c r="AG129" s="321"/>
      <c r="AJ129" s="130"/>
    </row>
    <row r="130" spans="1:36" ht="23.25" x14ac:dyDescent="0.5">
      <c r="A130" s="613"/>
      <c r="B130" s="616"/>
      <c r="C130" s="619"/>
      <c r="D130" s="622"/>
      <c r="E130" s="682"/>
      <c r="F130" s="682"/>
      <c r="G130" s="628"/>
      <c r="H130" s="630"/>
      <c r="I130" s="633"/>
      <c r="J130" s="571"/>
      <c r="K130" s="633"/>
      <c r="L130" s="571"/>
      <c r="M130" s="571"/>
      <c r="N130" s="48" t="s">
        <v>3</v>
      </c>
      <c r="O130" s="48" t="s">
        <v>263</v>
      </c>
      <c r="P130" s="133" t="s">
        <v>2</v>
      </c>
      <c r="Q130" s="660"/>
      <c r="R130" s="661"/>
      <c r="S130" s="677"/>
      <c r="T130" s="724"/>
      <c r="U130" s="90"/>
      <c r="V130" s="90"/>
      <c r="AA130" s="80" t="str">
        <f>AA129</f>
        <v>4-16-1</v>
      </c>
      <c r="AB130" s="317" t="str">
        <f>N130&amp;" - "&amp;O130</f>
        <v>نعم - توجد أنشطة خارج أهداف المؤسسة</v>
      </c>
      <c r="AC130" s="317" t="str">
        <f t="shared" si="7"/>
        <v>4-16-1-نعم - توجد أنشطة خارج أهداف المؤسسة</v>
      </c>
      <c r="AD130" s="319">
        <f t="shared" si="6"/>
        <v>0</v>
      </c>
      <c r="AE130" s="320">
        <f>IF(AD130="","",AD130*$R$129)</f>
        <v>0</v>
      </c>
      <c r="AF130" s="320">
        <v>1</v>
      </c>
      <c r="AG130" s="321"/>
      <c r="AJ130" s="130"/>
    </row>
    <row r="131" spans="1:36" ht="23.25" x14ac:dyDescent="0.5">
      <c r="A131" s="613"/>
      <c r="B131" s="616"/>
      <c r="C131" s="619"/>
      <c r="D131" s="622"/>
      <c r="E131" s="682"/>
      <c r="F131" s="682"/>
      <c r="G131" s="143"/>
      <c r="H131" s="630"/>
      <c r="I131" s="92"/>
      <c r="J131" s="36"/>
      <c r="K131" s="92"/>
      <c r="L131" s="36"/>
      <c r="M131" s="39"/>
      <c r="N131" s="36"/>
      <c r="O131" s="39"/>
      <c r="P131" s="99"/>
      <c r="Q131" s="92"/>
      <c r="R131" s="97"/>
      <c r="S131" s="677"/>
      <c r="T131" s="724"/>
      <c r="U131" s="90"/>
      <c r="V131" s="90"/>
      <c r="AD131" s="319" t="str">
        <f t="shared" ref="AD131:AD194" si="18">IF(AB131="","",IF(AND(LEN(AB131)=36,RIGHT(AB131,6)="التالي"),"",IF(P131="صفر",0,P131)))</f>
        <v/>
      </c>
      <c r="AE131" s="320"/>
      <c r="AF131" s="320"/>
      <c r="AG131" s="321"/>
      <c r="AJ131" s="130"/>
    </row>
    <row r="132" spans="1:36" ht="23.25" x14ac:dyDescent="0.5">
      <c r="A132" s="613"/>
      <c r="B132" s="616"/>
      <c r="C132" s="619"/>
      <c r="D132" s="622"/>
      <c r="E132" s="682"/>
      <c r="F132" s="682"/>
      <c r="G132" s="628" t="s">
        <v>264</v>
      </c>
      <c r="H132" s="630"/>
      <c r="I132" s="633">
        <v>2</v>
      </c>
      <c r="J132" s="592" t="s">
        <v>265</v>
      </c>
      <c r="K132" s="640">
        <v>1</v>
      </c>
      <c r="L132" s="571" t="s">
        <v>140</v>
      </c>
      <c r="M132" s="592" t="s">
        <v>266</v>
      </c>
      <c r="N132" s="117" t="s">
        <v>125</v>
      </c>
      <c r="O132" s="117" t="s">
        <v>267</v>
      </c>
      <c r="P132" s="144">
        <v>1</v>
      </c>
      <c r="Q132" s="550">
        <v>100</v>
      </c>
      <c r="R132" s="598">
        <f>Q132*K132*0.01</f>
        <v>1</v>
      </c>
      <c r="S132" s="677"/>
      <c r="T132" s="724"/>
      <c r="U132" s="90"/>
      <c r="V132" s="90"/>
      <c r="AA132" s="80" t="s">
        <v>415</v>
      </c>
      <c r="AB132" s="317" t="str">
        <f>N132&amp;" - "&amp;O132</f>
        <v>لا  - لا توجد أنشطة خارج نطاقها الإداري</v>
      </c>
      <c r="AC132" s="317" t="str">
        <f t="shared" ref="AC132:AC195" si="19">AA132&amp;"-"&amp;AB132</f>
        <v>4-16-2-لا  - لا توجد أنشطة خارج نطاقها الإداري</v>
      </c>
      <c r="AD132" s="319">
        <f t="shared" si="18"/>
        <v>1</v>
      </c>
      <c r="AE132" s="320">
        <f>IF(AD132="","",AD132*$R$132)</f>
        <v>1</v>
      </c>
      <c r="AF132" s="320">
        <v>1</v>
      </c>
      <c r="AG132" s="321"/>
      <c r="AJ132" s="130"/>
    </row>
    <row r="133" spans="1:36" ht="23.25" x14ac:dyDescent="0.5">
      <c r="A133" s="613"/>
      <c r="B133" s="616"/>
      <c r="C133" s="619"/>
      <c r="D133" s="622"/>
      <c r="E133" s="682"/>
      <c r="F133" s="682"/>
      <c r="G133" s="628"/>
      <c r="H133" s="630"/>
      <c r="I133" s="633"/>
      <c r="J133" s="571"/>
      <c r="K133" s="719"/>
      <c r="L133" s="571"/>
      <c r="M133" s="571"/>
      <c r="N133" s="48" t="s">
        <v>3</v>
      </c>
      <c r="O133" s="658" t="s">
        <v>14</v>
      </c>
      <c r="P133" s="659"/>
      <c r="Q133" s="550"/>
      <c r="R133" s="598"/>
      <c r="S133" s="677"/>
      <c r="T133" s="724"/>
      <c r="U133" s="90"/>
      <c r="V133" s="90"/>
      <c r="AA133" s="80" t="str">
        <f>AA132</f>
        <v>4-16-2</v>
      </c>
      <c r="AB133" s="317" t="str">
        <f>N133&amp;" - "&amp;O133</f>
        <v>نعم - يتم الانتقال إلى السؤال التالي</v>
      </c>
      <c r="AC133" s="317" t="str">
        <f t="shared" si="19"/>
        <v>4-16-2-نعم - يتم الانتقال إلى السؤال التالي</v>
      </c>
      <c r="AD133" s="319" t="str">
        <f t="shared" si="18"/>
        <v/>
      </c>
      <c r="AE133" s="320" t="s">
        <v>374</v>
      </c>
      <c r="AF133" s="320">
        <v>1</v>
      </c>
      <c r="AG133" s="321"/>
      <c r="AJ133" s="130"/>
    </row>
    <row r="134" spans="1:36" ht="23.25" x14ac:dyDescent="0.5">
      <c r="A134" s="613"/>
      <c r="B134" s="616"/>
      <c r="C134" s="619"/>
      <c r="D134" s="622"/>
      <c r="E134" s="682"/>
      <c r="F134" s="682"/>
      <c r="G134" s="628"/>
      <c r="H134" s="630"/>
      <c r="I134" s="92"/>
      <c r="J134" s="36"/>
      <c r="K134" s="719"/>
      <c r="L134" s="39"/>
      <c r="M134" s="36"/>
      <c r="N134" s="39"/>
      <c r="O134" s="36"/>
      <c r="P134" s="93"/>
      <c r="Q134" s="550"/>
      <c r="R134" s="598"/>
      <c r="S134" s="677"/>
      <c r="T134" s="724"/>
      <c r="U134" s="90"/>
      <c r="V134" s="90"/>
      <c r="AD134" s="319" t="str">
        <f t="shared" si="18"/>
        <v/>
      </c>
      <c r="AE134" s="320" t="str">
        <f t="shared" ref="AE134:AE136" si="20">IF(AD134="","",AD134*$R$132)</f>
        <v/>
      </c>
      <c r="AF134" s="320"/>
      <c r="AG134" s="321"/>
      <c r="AJ134" s="130"/>
    </row>
    <row r="135" spans="1:36" ht="23.25" x14ac:dyDescent="0.5">
      <c r="A135" s="613"/>
      <c r="B135" s="616"/>
      <c r="C135" s="619"/>
      <c r="D135" s="622"/>
      <c r="E135" s="682"/>
      <c r="F135" s="682"/>
      <c r="G135" s="628"/>
      <c r="H135" s="630"/>
      <c r="I135" s="633">
        <v>3</v>
      </c>
      <c r="J135" s="592" t="s">
        <v>268</v>
      </c>
      <c r="K135" s="719"/>
      <c r="L135" s="571" t="s">
        <v>140</v>
      </c>
      <c r="M135" s="592" t="s">
        <v>269</v>
      </c>
      <c r="N135" s="48" t="s">
        <v>125</v>
      </c>
      <c r="O135" s="48" t="s">
        <v>126</v>
      </c>
      <c r="P135" s="132" t="s">
        <v>2</v>
      </c>
      <c r="Q135" s="550"/>
      <c r="R135" s="598"/>
      <c r="S135" s="677"/>
      <c r="T135" s="724"/>
      <c r="U135" s="90"/>
      <c r="V135" s="90"/>
      <c r="AA135" s="80" t="s">
        <v>416</v>
      </c>
      <c r="AB135" s="317" t="str">
        <f>N135&amp;" - "&amp;O135</f>
        <v>لا  - لا توجد</v>
      </c>
      <c r="AC135" s="317" t="str">
        <f t="shared" si="19"/>
        <v>4-16-3-لا  - لا توجد</v>
      </c>
      <c r="AD135" s="319">
        <f t="shared" si="18"/>
        <v>0</v>
      </c>
      <c r="AE135" s="320">
        <f t="shared" si="20"/>
        <v>0</v>
      </c>
      <c r="AF135" s="320">
        <v>1</v>
      </c>
      <c r="AG135" s="321"/>
      <c r="AJ135" s="130"/>
    </row>
    <row r="136" spans="1:36" ht="23.25" x14ac:dyDescent="0.5">
      <c r="A136" s="613"/>
      <c r="B136" s="616"/>
      <c r="C136" s="619"/>
      <c r="D136" s="622"/>
      <c r="E136" s="682"/>
      <c r="F136" s="682"/>
      <c r="G136" s="628"/>
      <c r="H136" s="630"/>
      <c r="I136" s="633"/>
      <c r="J136" s="571"/>
      <c r="K136" s="720"/>
      <c r="L136" s="571"/>
      <c r="M136" s="571"/>
      <c r="N136" s="48" t="s">
        <v>3</v>
      </c>
      <c r="O136" s="48" t="s">
        <v>194</v>
      </c>
      <c r="P136" s="132">
        <v>1</v>
      </c>
      <c r="Q136" s="550"/>
      <c r="R136" s="598"/>
      <c r="S136" s="677"/>
      <c r="T136" s="724"/>
      <c r="U136" s="90"/>
      <c r="V136" s="90"/>
      <c r="AA136" s="80" t="str">
        <f>AA135</f>
        <v>4-16-3</v>
      </c>
      <c r="AB136" s="317" t="str">
        <f>N136&amp;" - "&amp;O136</f>
        <v>نعم - توجد</v>
      </c>
      <c r="AC136" s="317" t="str">
        <f t="shared" si="19"/>
        <v>4-16-3-نعم - توجد</v>
      </c>
      <c r="AD136" s="319">
        <f t="shared" si="18"/>
        <v>1</v>
      </c>
      <c r="AE136" s="320">
        <f t="shared" si="20"/>
        <v>1</v>
      </c>
      <c r="AF136" s="320">
        <v>1</v>
      </c>
      <c r="AG136" s="321"/>
      <c r="AJ136" s="130"/>
    </row>
    <row r="137" spans="1:36" ht="23.25" x14ac:dyDescent="0.5">
      <c r="A137" s="613"/>
      <c r="B137" s="616"/>
      <c r="C137" s="619"/>
      <c r="D137" s="622"/>
      <c r="E137" s="682"/>
      <c r="F137" s="682"/>
      <c r="G137" s="143"/>
      <c r="H137" s="630"/>
      <c r="I137" s="92"/>
      <c r="J137" s="36"/>
      <c r="K137" s="92"/>
      <c r="L137" s="36"/>
      <c r="M137" s="39"/>
      <c r="N137" s="36"/>
      <c r="O137" s="39"/>
      <c r="P137" s="99"/>
      <c r="Q137" s="92"/>
      <c r="R137" s="97"/>
      <c r="S137" s="677"/>
      <c r="T137" s="724"/>
      <c r="U137" s="90"/>
      <c r="V137" s="90"/>
      <c r="AD137" s="319" t="str">
        <f t="shared" si="18"/>
        <v/>
      </c>
      <c r="AE137" s="320"/>
      <c r="AF137" s="320"/>
      <c r="AG137" s="321"/>
      <c r="AJ137" s="130"/>
    </row>
    <row r="138" spans="1:36" ht="23.25" x14ac:dyDescent="0.5">
      <c r="A138" s="613"/>
      <c r="B138" s="616"/>
      <c r="C138" s="619"/>
      <c r="D138" s="622"/>
      <c r="E138" s="682"/>
      <c r="F138" s="682"/>
      <c r="G138" s="628" t="s">
        <v>270</v>
      </c>
      <c r="H138" s="630"/>
      <c r="I138" s="633">
        <v>4</v>
      </c>
      <c r="J138" s="592" t="s">
        <v>271</v>
      </c>
      <c r="K138" s="640">
        <v>1</v>
      </c>
      <c r="L138" s="571" t="s">
        <v>140</v>
      </c>
      <c r="M138" s="592" t="s">
        <v>272</v>
      </c>
      <c r="N138" s="117" t="s">
        <v>125</v>
      </c>
      <c r="O138" s="117" t="s">
        <v>126</v>
      </c>
      <c r="P138" s="144">
        <v>1</v>
      </c>
      <c r="Q138" s="550">
        <v>100</v>
      </c>
      <c r="R138" s="598">
        <f>Q138*K138*0.01</f>
        <v>1</v>
      </c>
      <c r="S138" s="677"/>
      <c r="T138" s="724"/>
      <c r="U138" s="90"/>
      <c r="V138" s="90"/>
      <c r="AA138" s="80" t="s">
        <v>417</v>
      </c>
      <c r="AB138" s="317" t="str">
        <f>N138&amp;" - "&amp;O138</f>
        <v>لا  - لا توجد</v>
      </c>
      <c r="AC138" s="317" t="str">
        <f t="shared" si="19"/>
        <v>4-16-4-لا  - لا توجد</v>
      </c>
      <c r="AD138" s="319">
        <f t="shared" si="18"/>
        <v>1</v>
      </c>
      <c r="AE138" s="320">
        <f>IF(AD138="","",AD138*$R$138)</f>
        <v>1</v>
      </c>
      <c r="AF138" s="320">
        <v>1</v>
      </c>
      <c r="AG138" s="321"/>
      <c r="AJ138" s="130"/>
    </row>
    <row r="139" spans="1:36" ht="23.25" x14ac:dyDescent="0.5">
      <c r="A139" s="613"/>
      <c r="B139" s="616"/>
      <c r="C139" s="619"/>
      <c r="D139" s="622"/>
      <c r="E139" s="682"/>
      <c r="F139" s="682"/>
      <c r="G139" s="628"/>
      <c r="H139" s="630"/>
      <c r="I139" s="633"/>
      <c r="J139" s="571"/>
      <c r="K139" s="719"/>
      <c r="L139" s="571"/>
      <c r="M139" s="571"/>
      <c r="N139" s="48" t="s">
        <v>3</v>
      </c>
      <c r="O139" s="658" t="s">
        <v>14</v>
      </c>
      <c r="P139" s="659"/>
      <c r="Q139" s="550"/>
      <c r="R139" s="598"/>
      <c r="S139" s="677"/>
      <c r="T139" s="724"/>
      <c r="U139" s="90"/>
      <c r="V139" s="90"/>
      <c r="AA139" s="80" t="str">
        <f>AA138</f>
        <v>4-16-4</v>
      </c>
      <c r="AB139" s="317" t="str">
        <f>N139&amp;" - "&amp;O139</f>
        <v>نعم - يتم الانتقال إلى السؤال التالي</v>
      </c>
      <c r="AC139" s="317" t="str">
        <f t="shared" si="19"/>
        <v>4-16-4-نعم - يتم الانتقال إلى السؤال التالي</v>
      </c>
      <c r="AD139" s="319" t="str">
        <f t="shared" si="18"/>
        <v/>
      </c>
      <c r="AE139" s="320" t="s">
        <v>374</v>
      </c>
      <c r="AF139" s="320">
        <v>1</v>
      </c>
      <c r="AG139" s="321"/>
      <c r="AJ139" s="130"/>
    </row>
    <row r="140" spans="1:36" ht="23.25" x14ac:dyDescent="0.5">
      <c r="A140" s="613"/>
      <c r="B140" s="616"/>
      <c r="C140" s="619"/>
      <c r="D140" s="622"/>
      <c r="E140" s="682"/>
      <c r="F140" s="682"/>
      <c r="G140" s="628"/>
      <c r="H140" s="630"/>
      <c r="I140" s="92"/>
      <c r="J140" s="36"/>
      <c r="K140" s="719"/>
      <c r="L140" s="39"/>
      <c r="M140" s="36"/>
      <c r="N140" s="39"/>
      <c r="O140" s="36"/>
      <c r="P140" s="93"/>
      <c r="Q140" s="550"/>
      <c r="R140" s="598"/>
      <c r="S140" s="677"/>
      <c r="T140" s="724"/>
      <c r="U140" s="90"/>
      <c r="V140" s="90"/>
      <c r="AD140" s="319" t="str">
        <f t="shared" si="18"/>
        <v/>
      </c>
      <c r="AE140" s="320"/>
      <c r="AF140" s="320"/>
      <c r="AG140" s="321"/>
      <c r="AJ140" s="130"/>
    </row>
    <row r="141" spans="1:36" ht="23.25" x14ac:dyDescent="0.5">
      <c r="A141" s="613"/>
      <c r="B141" s="616"/>
      <c r="C141" s="619"/>
      <c r="D141" s="622"/>
      <c r="E141" s="682"/>
      <c r="F141" s="682"/>
      <c r="G141" s="628"/>
      <c r="H141" s="630"/>
      <c r="I141" s="633">
        <v>5</v>
      </c>
      <c r="J141" s="592" t="s">
        <v>273</v>
      </c>
      <c r="K141" s="719"/>
      <c r="L141" s="571" t="s">
        <v>140</v>
      </c>
      <c r="M141" s="592" t="s">
        <v>274</v>
      </c>
      <c r="N141" s="48" t="s">
        <v>125</v>
      </c>
      <c r="O141" s="48" t="s">
        <v>126</v>
      </c>
      <c r="P141" s="132" t="s">
        <v>2</v>
      </c>
      <c r="Q141" s="550"/>
      <c r="R141" s="598"/>
      <c r="S141" s="677"/>
      <c r="T141" s="724"/>
      <c r="U141" s="90"/>
      <c r="V141" s="90"/>
      <c r="AA141" s="80" t="s">
        <v>418</v>
      </c>
      <c r="AB141" s="317" t="str">
        <f>N141&amp;" - "&amp;O141</f>
        <v>لا  - لا توجد</v>
      </c>
      <c r="AC141" s="317" t="str">
        <f t="shared" si="19"/>
        <v>4-16-5-لا  - لا توجد</v>
      </c>
      <c r="AD141" s="319">
        <f t="shared" si="18"/>
        <v>0</v>
      </c>
      <c r="AE141" s="320">
        <f>IF(AD141="","",AD141*$R$138)</f>
        <v>0</v>
      </c>
      <c r="AF141" s="320">
        <v>1</v>
      </c>
      <c r="AG141" s="321"/>
      <c r="AJ141" s="130"/>
    </row>
    <row r="142" spans="1:36" ht="24" thickBot="1" x14ac:dyDescent="0.55000000000000004">
      <c r="A142" s="614"/>
      <c r="B142" s="617"/>
      <c r="C142" s="620"/>
      <c r="D142" s="623"/>
      <c r="E142" s="685"/>
      <c r="F142" s="685"/>
      <c r="G142" s="679"/>
      <c r="H142" s="631"/>
      <c r="I142" s="634"/>
      <c r="J142" s="572"/>
      <c r="K142" s="721"/>
      <c r="L142" s="572"/>
      <c r="M142" s="572" t="s">
        <v>275</v>
      </c>
      <c r="N142" s="49" t="s">
        <v>3</v>
      </c>
      <c r="O142" s="49" t="s">
        <v>194</v>
      </c>
      <c r="P142" s="145">
        <v>1</v>
      </c>
      <c r="Q142" s="550"/>
      <c r="R142" s="598"/>
      <c r="S142" s="678"/>
      <c r="T142" s="725"/>
      <c r="U142" s="90"/>
      <c r="V142" s="90"/>
      <c r="AA142" s="80" t="str">
        <f>AA141</f>
        <v>4-16-5</v>
      </c>
      <c r="AB142" s="317" t="str">
        <f>N142&amp;" - "&amp;O142</f>
        <v>نعم - توجد</v>
      </c>
      <c r="AC142" s="317" t="str">
        <f t="shared" si="19"/>
        <v>4-16-5-نعم - توجد</v>
      </c>
      <c r="AD142" s="319">
        <f t="shared" si="18"/>
        <v>1</v>
      </c>
      <c r="AE142" s="320">
        <f t="shared" ref="AE142" si="21">IF(AD142="","",AD142*$R$138)</f>
        <v>1</v>
      </c>
      <c r="AF142" s="320">
        <v>1</v>
      </c>
      <c r="AG142" s="321"/>
      <c r="AJ142" s="130"/>
    </row>
    <row r="143" spans="1:36" ht="37.5" thickBot="1" x14ac:dyDescent="0.55000000000000004">
      <c r="A143" s="107"/>
      <c r="B143" s="358"/>
      <c r="C143" s="107"/>
      <c r="D143" s="108"/>
      <c r="E143" s="109"/>
      <c r="F143" s="110"/>
      <c r="G143" s="111"/>
      <c r="H143" s="110"/>
      <c r="I143" s="112"/>
      <c r="J143" s="37"/>
      <c r="K143" s="112"/>
      <c r="L143" s="37"/>
      <c r="M143" s="37"/>
      <c r="N143" s="38"/>
      <c r="O143" s="37"/>
      <c r="P143" s="146"/>
      <c r="Q143" s="147"/>
      <c r="R143" s="109"/>
      <c r="S143" s="110"/>
      <c r="T143" s="109"/>
      <c r="U143" s="148"/>
      <c r="V143" s="148"/>
      <c r="AD143" s="319" t="str">
        <f t="shared" si="18"/>
        <v/>
      </c>
      <c r="AE143" s="320"/>
      <c r="AF143" s="320"/>
      <c r="AG143" s="321"/>
      <c r="AJ143" s="130"/>
    </row>
    <row r="144" spans="1:36" ht="23.25" x14ac:dyDescent="0.5">
      <c r="A144" s="704" t="s">
        <v>276</v>
      </c>
      <c r="B144" s="707">
        <v>5</v>
      </c>
      <c r="C144" s="710" t="s">
        <v>277</v>
      </c>
      <c r="D144" s="713">
        <v>0.1</v>
      </c>
      <c r="E144" s="716">
        <v>17</v>
      </c>
      <c r="F144" s="716">
        <v>10</v>
      </c>
      <c r="G144" s="697" t="s">
        <v>278</v>
      </c>
      <c r="H144" s="698">
        <v>10</v>
      </c>
      <c r="I144" s="556">
        <v>1</v>
      </c>
      <c r="J144" s="558" t="s">
        <v>279</v>
      </c>
      <c r="K144" s="560">
        <v>6</v>
      </c>
      <c r="L144" s="558" t="s">
        <v>158</v>
      </c>
      <c r="M144" s="558" t="s">
        <v>489</v>
      </c>
      <c r="N144" s="149" t="s">
        <v>125</v>
      </c>
      <c r="O144" s="149" t="s">
        <v>180</v>
      </c>
      <c r="P144" s="150" t="s">
        <v>2</v>
      </c>
      <c r="Q144" s="549">
        <v>100</v>
      </c>
      <c r="R144" s="551">
        <f>Q144*K144*0.01</f>
        <v>6</v>
      </c>
      <c r="S144" s="691">
        <f>SUM(R144:R151)</f>
        <v>10</v>
      </c>
      <c r="T144" s="693">
        <f>S144</f>
        <v>10</v>
      </c>
      <c r="U144" s="90"/>
      <c r="V144" s="90"/>
      <c r="AA144" s="80" t="s">
        <v>419</v>
      </c>
      <c r="AB144" s="317" t="str">
        <f>N144&amp;" - "&amp;O144</f>
        <v xml:space="preserve">لا  - لم يتم ذلك </v>
      </c>
      <c r="AC144" s="317" t="str">
        <f t="shared" si="19"/>
        <v xml:space="preserve">5-17-1-لا  - لم يتم ذلك </v>
      </c>
      <c r="AD144" s="319">
        <f t="shared" si="18"/>
        <v>0</v>
      </c>
      <c r="AE144" s="320">
        <f>IF(AD144="","",AD144*$R$144)</f>
        <v>0</v>
      </c>
      <c r="AF144" s="320">
        <v>1</v>
      </c>
      <c r="AG144" s="321"/>
      <c r="AJ144" s="130"/>
    </row>
    <row r="145" spans="1:36" ht="23.25" x14ac:dyDescent="0.5">
      <c r="A145" s="705"/>
      <c r="B145" s="708"/>
      <c r="C145" s="711"/>
      <c r="D145" s="714"/>
      <c r="E145" s="717"/>
      <c r="F145" s="717"/>
      <c r="G145" s="635"/>
      <c r="H145" s="699"/>
      <c r="I145" s="543"/>
      <c r="J145" s="545"/>
      <c r="K145" s="547"/>
      <c r="L145" s="545"/>
      <c r="M145" s="545"/>
      <c r="N145" s="120" t="s">
        <v>3</v>
      </c>
      <c r="O145" s="643" t="s">
        <v>14</v>
      </c>
      <c r="P145" s="696"/>
      <c r="Q145" s="550"/>
      <c r="R145" s="552"/>
      <c r="S145" s="668"/>
      <c r="T145" s="694"/>
      <c r="U145" s="90"/>
      <c r="V145" s="90"/>
      <c r="AA145" s="80" t="str">
        <f>AA144</f>
        <v>5-17-1</v>
      </c>
      <c r="AB145" s="317" t="str">
        <f>N145&amp;" - "&amp;O145</f>
        <v>نعم - يتم الانتقال إلى السؤال التالي</v>
      </c>
      <c r="AC145" s="317" t="str">
        <f t="shared" si="19"/>
        <v>5-17-1-نعم - يتم الانتقال إلى السؤال التالي</v>
      </c>
      <c r="AD145" s="319" t="str">
        <f t="shared" si="18"/>
        <v/>
      </c>
      <c r="AE145" s="320" t="s">
        <v>374</v>
      </c>
      <c r="AF145" s="320">
        <v>1</v>
      </c>
      <c r="AG145" s="321"/>
      <c r="AJ145" s="130"/>
    </row>
    <row r="146" spans="1:36" ht="23.25" x14ac:dyDescent="0.5">
      <c r="A146" s="705"/>
      <c r="B146" s="708"/>
      <c r="C146" s="711"/>
      <c r="D146" s="714"/>
      <c r="E146" s="717"/>
      <c r="F146" s="717"/>
      <c r="G146" s="40"/>
      <c r="H146" s="699"/>
      <c r="I146" s="151"/>
      <c r="J146" s="152"/>
      <c r="K146" s="547"/>
      <c r="L146" s="153"/>
      <c r="M146" s="36"/>
      <c r="N146" s="39"/>
      <c r="O146" s="39"/>
      <c r="P146" s="93"/>
      <c r="Q146" s="550"/>
      <c r="R146" s="552"/>
      <c r="S146" s="668"/>
      <c r="T146" s="694"/>
      <c r="U146" s="90"/>
      <c r="V146" s="90"/>
      <c r="AD146" s="319" t="str">
        <f t="shared" si="18"/>
        <v/>
      </c>
      <c r="AE146" s="320"/>
      <c r="AF146" s="320"/>
      <c r="AG146" s="321"/>
      <c r="AJ146" s="130"/>
    </row>
    <row r="147" spans="1:36" ht="23.25" x14ac:dyDescent="0.5">
      <c r="A147" s="705"/>
      <c r="B147" s="708"/>
      <c r="C147" s="711"/>
      <c r="D147" s="714"/>
      <c r="E147" s="717"/>
      <c r="F147" s="717"/>
      <c r="G147" s="590" t="s">
        <v>280</v>
      </c>
      <c r="H147" s="699"/>
      <c r="I147" s="543">
        <v>2</v>
      </c>
      <c r="J147" s="545" t="s">
        <v>281</v>
      </c>
      <c r="K147" s="547"/>
      <c r="L147" s="545" t="s">
        <v>140</v>
      </c>
      <c r="M147" s="545" t="s">
        <v>282</v>
      </c>
      <c r="N147" s="120" t="s">
        <v>125</v>
      </c>
      <c r="O147" s="120" t="s">
        <v>180</v>
      </c>
      <c r="P147" s="142" t="s">
        <v>2</v>
      </c>
      <c r="Q147" s="550"/>
      <c r="R147" s="552"/>
      <c r="S147" s="668"/>
      <c r="T147" s="694"/>
      <c r="U147" s="90"/>
      <c r="V147" s="90"/>
      <c r="AA147" s="80" t="s">
        <v>420</v>
      </c>
      <c r="AB147" s="317" t="str">
        <f>N147&amp;" - "&amp;O147</f>
        <v xml:space="preserve">لا  - لم يتم ذلك </v>
      </c>
      <c r="AC147" s="317" t="str">
        <f t="shared" si="19"/>
        <v xml:space="preserve">5-17-2-لا  - لم يتم ذلك </v>
      </c>
      <c r="AD147" s="319">
        <f t="shared" si="18"/>
        <v>0</v>
      </c>
      <c r="AE147" s="320">
        <f>IF(AD147="","",AD147*$R$144)</f>
        <v>0</v>
      </c>
      <c r="AF147" s="320">
        <v>1</v>
      </c>
      <c r="AG147" s="321"/>
      <c r="AJ147" s="130"/>
    </row>
    <row r="148" spans="1:36" ht="23.25" x14ac:dyDescent="0.5">
      <c r="A148" s="705"/>
      <c r="B148" s="708"/>
      <c r="C148" s="711"/>
      <c r="D148" s="714"/>
      <c r="E148" s="717"/>
      <c r="F148" s="717"/>
      <c r="G148" s="635"/>
      <c r="H148" s="699"/>
      <c r="I148" s="543"/>
      <c r="J148" s="545"/>
      <c r="K148" s="547"/>
      <c r="L148" s="545"/>
      <c r="M148" s="545"/>
      <c r="N148" s="120" t="s">
        <v>3</v>
      </c>
      <c r="O148" s="120" t="s">
        <v>237</v>
      </c>
      <c r="P148" s="142">
        <v>1</v>
      </c>
      <c r="Q148" s="550"/>
      <c r="R148" s="552"/>
      <c r="S148" s="668"/>
      <c r="T148" s="694"/>
      <c r="U148" s="90"/>
      <c r="V148" s="90"/>
      <c r="AA148" s="80" t="str">
        <f>AA147</f>
        <v>5-17-2</v>
      </c>
      <c r="AB148" s="317" t="str">
        <f>N148&amp;" - "&amp;O148</f>
        <v>نعم - تم ذلك</v>
      </c>
      <c r="AC148" s="317" t="str">
        <f t="shared" si="19"/>
        <v>5-17-2-نعم - تم ذلك</v>
      </c>
      <c r="AD148" s="319">
        <f t="shared" si="18"/>
        <v>1</v>
      </c>
      <c r="AE148" s="320">
        <f t="shared" ref="AE148" si="22">IF(AD148="","",AD148*$R$144)</f>
        <v>6</v>
      </c>
      <c r="AF148" s="320">
        <v>1</v>
      </c>
      <c r="AG148" s="321"/>
      <c r="AJ148" s="130"/>
    </row>
    <row r="149" spans="1:36" ht="23.25" x14ac:dyDescent="0.5">
      <c r="A149" s="705"/>
      <c r="B149" s="708"/>
      <c r="C149" s="711"/>
      <c r="D149" s="714"/>
      <c r="E149" s="717"/>
      <c r="F149" s="717"/>
      <c r="G149" s="154"/>
      <c r="H149" s="699"/>
      <c r="I149" s="151"/>
      <c r="J149" s="36"/>
      <c r="K149" s="155"/>
      <c r="L149" s="36"/>
      <c r="M149" s="36"/>
      <c r="N149" s="39"/>
      <c r="O149" s="39"/>
      <c r="P149" s="156"/>
      <c r="Q149" s="155"/>
      <c r="R149" s="157"/>
      <c r="S149" s="668"/>
      <c r="T149" s="694"/>
      <c r="U149" s="90"/>
      <c r="V149" s="90"/>
      <c r="AD149" s="319" t="str">
        <f t="shared" si="18"/>
        <v/>
      </c>
      <c r="AE149" s="320"/>
      <c r="AF149" s="320"/>
      <c r="AG149" s="321"/>
      <c r="AJ149" s="130"/>
    </row>
    <row r="150" spans="1:36" ht="23.25" x14ac:dyDescent="0.5">
      <c r="A150" s="705"/>
      <c r="B150" s="708"/>
      <c r="C150" s="711"/>
      <c r="D150" s="714"/>
      <c r="E150" s="717"/>
      <c r="F150" s="717"/>
      <c r="G150" s="539" t="s">
        <v>283</v>
      </c>
      <c r="H150" s="699"/>
      <c r="I150" s="543">
        <v>3</v>
      </c>
      <c r="J150" s="545" t="s">
        <v>284</v>
      </c>
      <c r="K150" s="547">
        <v>4</v>
      </c>
      <c r="L150" s="545" t="s">
        <v>140</v>
      </c>
      <c r="M150" s="545" t="s">
        <v>285</v>
      </c>
      <c r="N150" s="120" t="s">
        <v>125</v>
      </c>
      <c r="O150" s="120" t="s">
        <v>286</v>
      </c>
      <c r="P150" s="121" t="s">
        <v>2</v>
      </c>
      <c r="Q150" s="550">
        <v>100</v>
      </c>
      <c r="R150" s="552">
        <f>Q150*K150*0.01</f>
        <v>4</v>
      </c>
      <c r="S150" s="668"/>
      <c r="T150" s="694"/>
      <c r="U150" s="90"/>
      <c r="V150" s="90"/>
      <c r="AA150" s="80" t="s">
        <v>421</v>
      </c>
      <c r="AB150" s="317" t="str">
        <f>N150&amp;" - "&amp;O150</f>
        <v>لا  - لم يتم الإعداد</v>
      </c>
      <c r="AC150" s="317" t="str">
        <f t="shared" si="19"/>
        <v>5-17-3-لا  - لم يتم الإعداد</v>
      </c>
      <c r="AD150" s="319">
        <f t="shared" si="18"/>
        <v>0</v>
      </c>
      <c r="AE150" s="320">
        <f>IF(AD150="","",AD150*$R$150)</f>
        <v>0</v>
      </c>
      <c r="AF150" s="320">
        <v>1</v>
      </c>
      <c r="AG150" s="321"/>
      <c r="AJ150" s="130"/>
    </row>
    <row r="151" spans="1:36" ht="24" thickBot="1" x14ac:dyDescent="0.55000000000000004">
      <c r="A151" s="706"/>
      <c r="B151" s="709"/>
      <c r="C151" s="712"/>
      <c r="D151" s="715"/>
      <c r="E151" s="718"/>
      <c r="F151" s="718"/>
      <c r="G151" s="540"/>
      <c r="H151" s="700"/>
      <c r="I151" s="544"/>
      <c r="J151" s="546"/>
      <c r="K151" s="548"/>
      <c r="L151" s="546"/>
      <c r="M151" s="546"/>
      <c r="N151" s="158" t="s">
        <v>3</v>
      </c>
      <c r="O151" s="158" t="s">
        <v>287</v>
      </c>
      <c r="P151" s="159">
        <v>1</v>
      </c>
      <c r="Q151" s="562"/>
      <c r="R151" s="563"/>
      <c r="S151" s="692"/>
      <c r="T151" s="695"/>
      <c r="U151" s="90"/>
      <c r="V151" s="90"/>
      <c r="AA151" s="80" t="str">
        <f>AA150</f>
        <v>5-17-3</v>
      </c>
      <c r="AB151" s="317" t="str">
        <f>N151&amp;" - "&amp;O151</f>
        <v>نعم - تم الإعداد</v>
      </c>
      <c r="AC151" s="317" t="str">
        <f t="shared" si="19"/>
        <v>5-17-3-نعم - تم الإعداد</v>
      </c>
      <c r="AD151" s="319">
        <f t="shared" si="18"/>
        <v>1</v>
      </c>
      <c r="AE151" s="320">
        <f>IF(AD151="","",AD151*$R$150)</f>
        <v>4</v>
      </c>
      <c r="AF151" s="320">
        <v>1</v>
      </c>
      <c r="AG151" s="321"/>
      <c r="AJ151" s="130"/>
    </row>
    <row r="152" spans="1:36" ht="37.5" thickBot="1" x14ac:dyDescent="0.55000000000000004">
      <c r="A152" s="160"/>
      <c r="B152" s="359"/>
      <c r="C152" s="161"/>
      <c r="D152" s="162"/>
      <c r="E152" s="163"/>
      <c r="F152" s="163"/>
      <c r="G152" s="164"/>
      <c r="H152" s="110"/>
      <c r="I152" s="112"/>
      <c r="J152" s="37"/>
      <c r="K152" s="147"/>
      <c r="L152" s="37"/>
      <c r="M152" s="37"/>
      <c r="N152" s="38"/>
      <c r="O152" s="38"/>
      <c r="P152" s="165"/>
      <c r="Q152" s="147"/>
      <c r="R152" s="110"/>
      <c r="S152" s="163"/>
      <c r="T152" s="166"/>
      <c r="U152" s="90"/>
      <c r="V152" s="90"/>
      <c r="AD152" s="319" t="str">
        <f t="shared" si="18"/>
        <v/>
      </c>
      <c r="AE152" s="320"/>
      <c r="AF152" s="320"/>
      <c r="AG152" s="321"/>
      <c r="AJ152" s="130"/>
    </row>
    <row r="153" spans="1:36" ht="23.25" x14ac:dyDescent="0.5">
      <c r="A153" s="612" t="s">
        <v>288</v>
      </c>
      <c r="B153" s="615">
        <v>6</v>
      </c>
      <c r="C153" s="618" t="s">
        <v>289</v>
      </c>
      <c r="D153" s="621">
        <v>0.06</v>
      </c>
      <c r="E153" s="681">
        <v>18</v>
      </c>
      <c r="F153" s="681">
        <v>1</v>
      </c>
      <c r="G153" s="627" t="s">
        <v>290</v>
      </c>
      <c r="H153" s="686">
        <v>1</v>
      </c>
      <c r="I153" s="632">
        <v>1</v>
      </c>
      <c r="J153" s="591" t="s">
        <v>291</v>
      </c>
      <c r="K153" s="632">
        <v>1</v>
      </c>
      <c r="L153" s="687" t="s">
        <v>158</v>
      </c>
      <c r="M153" s="591" t="s">
        <v>292</v>
      </c>
      <c r="N153" s="115" t="s">
        <v>125</v>
      </c>
      <c r="O153" s="115" t="s">
        <v>293</v>
      </c>
      <c r="P153" s="167" t="s">
        <v>2</v>
      </c>
      <c r="Q153" s="549">
        <v>100</v>
      </c>
      <c r="R153" s="597">
        <f>Q153*K153*0.01</f>
        <v>1</v>
      </c>
      <c r="S153" s="565">
        <f>SUM(R153:R157)</f>
        <v>1</v>
      </c>
      <c r="T153" s="662">
        <f>SUM(S153:S172)</f>
        <v>6</v>
      </c>
      <c r="U153" s="90"/>
      <c r="V153" s="90"/>
      <c r="AA153" s="80" t="s">
        <v>422</v>
      </c>
      <c r="AB153" s="317" t="str">
        <f>N153&amp;" - "&amp;O153</f>
        <v xml:space="preserve">لا  - لم يتم التقييم </v>
      </c>
      <c r="AC153" s="317" t="str">
        <f t="shared" si="19"/>
        <v xml:space="preserve">6-18-1-لا  - لم يتم التقييم </v>
      </c>
      <c r="AD153" s="319">
        <f t="shared" si="18"/>
        <v>0</v>
      </c>
      <c r="AE153" s="320">
        <f>IF(AD153="","",AD153*$R$153)</f>
        <v>0</v>
      </c>
      <c r="AF153" s="320">
        <v>1</v>
      </c>
      <c r="AG153" s="321"/>
      <c r="AJ153" s="130"/>
    </row>
    <row r="154" spans="1:36" ht="23.25" x14ac:dyDescent="0.5">
      <c r="A154" s="613"/>
      <c r="B154" s="616"/>
      <c r="C154" s="619"/>
      <c r="D154" s="622"/>
      <c r="E154" s="682"/>
      <c r="F154" s="682"/>
      <c r="G154" s="628"/>
      <c r="H154" s="672"/>
      <c r="I154" s="633"/>
      <c r="J154" s="571"/>
      <c r="K154" s="633"/>
      <c r="L154" s="688"/>
      <c r="M154" s="571"/>
      <c r="N154" s="48" t="s">
        <v>3</v>
      </c>
      <c r="O154" s="571" t="s">
        <v>14</v>
      </c>
      <c r="P154" s="666"/>
      <c r="Q154" s="550"/>
      <c r="R154" s="598"/>
      <c r="S154" s="566"/>
      <c r="T154" s="663"/>
      <c r="U154" s="90"/>
      <c r="V154" s="90"/>
      <c r="AA154" s="80" t="str">
        <f>AA153</f>
        <v>6-18-1</v>
      </c>
      <c r="AB154" s="317" t="str">
        <f>N154&amp;" - "&amp;O154</f>
        <v>نعم - يتم الانتقال إلى السؤال التالي</v>
      </c>
      <c r="AC154" s="317" t="str">
        <f t="shared" si="19"/>
        <v>6-18-1-نعم - يتم الانتقال إلى السؤال التالي</v>
      </c>
      <c r="AD154" s="319" t="str">
        <f t="shared" si="18"/>
        <v/>
      </c>
      <c r="AE154" s="320" t="s">
        <v>374</v>
      </c>
      <c r="AF154" s="320">
        <v>1</v>
      </c>
      <c r="AG154" s="321"/>
      <c r="AJ154" s="130"/>
    </row>
    <row r="155" spans="1:36" ht="23.25" x14ac:dyDescent="0.5">
      <c r="A155" s="613"/>
      <c r="B155" s="616"/>
      <c r="C155" s="619"/>
      <c r="D155" s="622"/>
      <c r="E155" s="682"/>
      <c r="F155" s="682"/>
      <c r="G155" s="143"/>
      <c r="H155" s="672"/>
      <c r="I155" s="151"/>
      <c r="J155" s="168"/>
      <c r="K155" s="633"/>
      <c r="L155" s="37"/>
      <c r="M155" s="38"/>
      <c r="N155" s="38"/>
      <c r="O155" s="38"/>
      <c r="P155" s="146"/>
      <c r="Q155" s="550"/>
      <c r="R155" s="598"/>
      <c r="S155" s="566"/>
      <c r="T155" s="663"/>
      <c r="U155" s="90"/>
      <c r="V155" s="90"/>
      <c r="AD155" s="319" t="str">
        <f t="shared" si="18"/>
        <v/>
      </c>
      <c r="AE155" s="320"/>
      <c r="AF155" s="320"/>
      <c r="AG155" s="321"/>
      <c r="AJ155" s="130"/>
    </row>
    <row r="156" spans="1:36" ht="23.25" x14ac:dyDescent="0.5">
      <c r="A156" s="613"/>
      <c r="B156" s="616"/>
      <c r="C156" s="619"/>
      <c r="D156" s="622"/>
      <c r="E156" s="682"/>
      <c r="F156" s="682"/>
      <c r="G156" s="628" t="s">
        <v>294</v>
      </c>
      <c r="H156" s="672"/>
      <c r="I156" s="633">
        <v>2</v>
      </c>
      <c r="J156" s="592" t="s">
        <v>295</v>
      </c>
      <c r="K156" s="633"/>
      <c r="L156" s="688" t="s">
        <v>158</v>
      </c>
      <c r="M156" s="592" t="s">
        <v>292</v>
      </c>
      <c r="N156" s="48" t="s">
        <v>125</v>
      </c>
      <c r="O156" s="48" t="s">
        <v>145</v>
      </c>
      <c r="P156" s="132" t="s">
        <v>2</v>
      </c>
      <c r="Q156" s="550"/>
      <c r="R156" s="598"/>
      <c r="S156" s="566"/>
      <c r="T156" s="663"/>
      <c r="U156" s="90"/>
      <c r="V156" s="90"/>
      <c r="AA156" s="80" t="s">
        <v>423</v>
      </c>
      <c r="AB156" s="317" t="str">
        <f>N156&amp;" - "&amp;O156</f>
        <v>لا  - لم يتم ذلك</v>
      </c>
      <c r="AC156" s="317" t="str">
        <f t="shared" si="19"/>
        <v>6-18-2-لا  - لم يتم ذلك</v>
      </c>
      <c r="AD156" s="319">
        <f t="shared" si="18"/>
        <v>0</v>
      </c>
      <c r="AE156" s="320">
        <f t="shared" ref="AE156:AE157" si="23">IF(AD156="","",AD156*$R$153)</f>
        <v>0</v>
      </c>
      <c r="AF156" s="320">
        <v>1</v>
      </c>
      <c r="AG156" s="321"/>
      <c r="AJ156" s="130"/>
    </row>
    <row r="157" spans="1:36" ht="23.25" x14ac:dyDescent="0.5">
      <c r="A157" s="613"/>
      <c r="B157" s="616"/>
      <c r="C157" s="619"/>
      <c r="D157" s="622"/>
      <c r="E157" s="682"/>
      <c r="F157" s="682"/>
      <c r="G157" s="689"/>
      <c r="H157" s="672"/>
      <c r="I157" s="640"/>
      <c r="J157" s="667"/>
      <c r="K157" s="640"/>
      <c r="L157" s="690"/>
      <c r="M157" s="667"/>
      <c r="N157" s="50" t="s">
        <v>3</v>
      </c>
      <c r="O157" s="169" t="s">
        <v>237</v>
      </c>
      <c r="P157" s="170">
        <v>1</v>
      </c>
      <c r="Q157" s="550"/>
      <c r="R157" s="598"/>
      <c r="S157" s="639"/>
      <c r="T157" s="663"/>
      <c r="U157" s="90"/>
      <c r="V157" s="90"/>
      <c r="AA157" s="80" t="str">
        <f>AA156</f>
        <v>6-18-2</v>
      </c>
      <c r="AB157" s="317" t="str">
        <f>N157&amp;" - "&amp;O157</f>
        <v>نعم - تم ذلك</v>
      </c>
      <c r="AC157" s="317" t="str">
        <f t="shared" si="19"/>
        <v>6-18-2-نعم - تم ذلك</v>
      </c>
      <c r="AD157" s="319">
        <f t="shared" si="18"/>
        <v>1</v>
      </c>
      <c r="AE157" s="320">
        <f t="shared" si="23"/>
        <v>1</v>
      </c>
      <c r="AF157" s="320">
        <v>1</v>
      </c>
      <c r="AG157" s="321"/>
      <c r="AJ157" s="130"/>
    </row>
    <row r="158" spans="1:36" ht="23.25" x14ac:dyDescent="0.5">
      <c r="A158" s="613"/>
      <c r="B158" s="616"/>
      <c r="C158" s="619"/>
      <c r="D158" s="680"/>
      <c r="E158" s="171"/>
      <c r="F158" s="172"/>
      <c r="G158" s="173"/>
      <c r="H158" s="97"/>
      <c r="I158" s="92"/>
      <c r="J158" s="39"/>
      <c r="K158" s="92"/>
      <c r="L158" s="36"/>
      <c r="M158" s="39"/>
      <c r="N158" s="39"/>
      <c r="O158" s="174"/>
      <c r="P158" s="156"/>
      <c r="Q158" s="92"/>
      <c r="R158" s="96"/>
      <c r="S158" s="175"/>
      <c r="T158" s="664"/>
      <c r="U158" s="90"/>
      <c r="V158" s="90"/>
      <c r="AD158" s="319" t="str">
        <f t="shared" si="18"/>
        <v/>
      </c>
      <c r="AE158" s="320"/>
      <c r="AF158" s="320"/>
      <c r="AG158" s="321"/>
      <c r="AJ158" s="130"/>
    </row>
    <row r="159" spans="1:36" ht="46.5" customHeight="1" x14ac:dyDescent="0.5">
      <c r="A159" s="613"/>
      <c r="B159" s="616"/>
      <c r="C159" s="619"/>
      <c r="D159" s="622"/>
      <c r="E159" s="682">
        <v>19</v>
      </c>
      <c r="F159" s="682">
        <v>2</v>
      </c>
      <c r="G159" s="176" t="s">
        <v>296</v>
      </c>
      <c r="H159" s="672">
        <v>2</v>
      </c>
      <c r="I159" s="637">
        <v>1</v>
      </c>
      <c r="J159" s="608" t="s">
        <v>291</v>
      </c>
      <c r="K159" s="675">
        <v>2</v>
      </c>
      <c r="L159" s="671" t="s">
        <v>158</v>
      </c>
      <c r="M159" s="608" t="s">
        <v>297</v>
      </c>
      <c r="N159" s="177" t="s">
        <v>125</v>
      </c>
      <c r="O159" s="177" t="s">
        <v>293</v>
      </c>
      <c r="P159" s="178" t="s">
        <v>2</v>
      </c>
      <c r="Q159" s="550">
        <v>100</v>
      </c>
      <c r="R159" s="552">
        <f>Q159*K159*0.01</f>
        <v>2</v>
      </c>
      <c r="S159" s="668">
        <f>SUM(R159:R163)</f>
        <v>2</v>
      </c>
      <c r="T159" s="663"/>
      <c r="U159" s="90"/>
      <c r="V159" s="90"/>
      <c r="AA159" s="80" t="s">
        <v>424</v>
      </c>
      <c r="AB159" s="317" t="str">
        <f>N159&amp;" - "&amp;O159</f>
        <v xml:space="preserve">لا  - لم يتم التقييم </v>
      </c>
      <c r="AC159" s="317" t="str">
        <f t="shared" si="19"/>
        <v xml:space="preserve">6-19-1-لا  - لم يتم التقييم </v>
      </c>
      <c r="AD159" s="319">
        <f t="shared" si="18"/>
        <v>0</v>
      </c>
      <c r="AE159" s="320">
        <f>IF(AD159="","",AD159*$R$159)</f>
        <v>0</v>
      </c>
      <c r="AF159" s="320">
        <v>1</v>
      </c>
      <c r="AG159" s="321"/>
      <c r="AJ159" s="130"/>
    </row>
    <row r="160" spans="1:36" ht="46.5" x14ac:dyDescent="0.5">
      <c r="A160" s="613"/>
      <c r="B160" s="616"/>
      <c r="C160" s="619"/>
      <c r="D160" s="622"/>
      <c r="E160" s="682"/>
      <c r="F160" s="682"/>
      <c r="G160" s="46" t="s">
        <v>298</v>
      </c>
      <c r="H160" s="672"/>
      <c r="I160" s="557"/>
      <c r="J160" s="559"/>
      <c r="K160" s="675"/>
      <c r="L160" s="671"/>
      <c r="M160" s="559"/>
      <c r="N160" s="179" t="s">
        <v>3</v>
      </c>
      <c r="O160" s="605" t="s">
        <v>14</v>
      </c>
      <c r="P160" s="670"/>
      <c r="Q160" s="550"/>
      <c r="R160" s="552"/>
      <c r="S160" s="668"/>
      <c r="T160" s="663"/>
      <c r="U160" s="90"/>
      <c r="V160" s="90"/>
      <c r="AA160" s="80" t="str">
        <f>AA159</f>
        <v>6-19-1</v>
      </c>
      <c r="AB160" s="317" t="str">
        <f>N160&amp;" - "&amp;O160</f>
        <v>نعم - يتم الانتقال إلى السؤال التالي</v>
      </c>
      <c r="AC160" s="317" t="str">
        <f t="shared" si="19"/>
        <v>6-19-1-نعم - يتم الانتقال إلى السؤال التالي</v>
      </c>
      <c r="AD160" s="319" t="str">
        <f t="shared" si="18"/>
        <v/>
      </c>
      <c r="AE160" s="320" t="s">
        <v>374</v>
      </c>
      <c r="AF160" s="320">
        <v>1</v>
      </c>
      <c r="AG160" s="321"/>
      <c r="AJ160" s="130"/>
    </row>
    <row r="161" spans="1:36" ht="23.25" x14ac:dyDescent="0.5">
      <c r="A161" s="613"/>
      <c r="B161" s="616"/>
      <c r="C161" s="619"/>
      <c r="D161" s="622"/>
      <c r="E161" s="682"/>
      <c r="F161" s="682"/>
      <c r="G161" s="143"/>
      <c r="H161" s="673"/>
      <c r="I161" s="151"/>
      <c r="J161" s="152"/>
      <c r="K161" s="676"/>
      <c r="L161" s="153"/>
      <c r="M161" s="36"/>
      <c r="N161" s="39"/>
      <c r="O161" s="39"/>
      <c r="P161" s="93"/>
      <c r="Q161" s="550"/>
      <c r="R161" s="552"/>
      <c r="S161" s="669"/>
      <c r="T161" s="663"/>
      <c r="U161" s="90"/>
      <c r="V161" s="90"/>
      <c r="AD161" s="319" t="str">
        <f t="shared" si="18"/>
        <v/>
      </c>
      <c r="AE161" s="320"/>
      <c r="AF161" s="320"/>
      <c r="AG161" s="321"/>
      <c r="AJ161" s="130"/>
    </row>
    <row r="162" spans="1:36" ht="23.25" x14ac:dyDescent="0.5">
      <c r="A162" s="613"/>
      <c r="B162" s="616"/>
      <c r="C162" s="619"/>
      <c r="D162" s="622"/>
      <c r="E162" s="682"/>
      <c r="F162" s="682"/>
      <c r="G162" s="628" t="s">
        <v>299</v>
      </c>
      <c r="H162" s="672"/>
      <c r="I162" s="637">
        <v>2</v>
      </c>
      <c r="J162" s="608" t="s">
        <v>300</v>
      </c>
      <c r="K162" s="675"/>
      <c r="L162" s="671" t="s">
        <v>158</v>
      </c>
      <c r="M162" s="608" t="s">
        <v>301</v>
      </c>
      <c r="N162" s="177" t="s">
        <v>125</v>
      </c>
      <c r="O162" s="177" t="s">
        <v>145</v>
      </c>
      <c r="P162" s="178" t="s">
        <v>2</v>
      </c>
      <c r="Q162" s="550"/>
      <c r="R162" s="552"/>
      <c r="S162" s="668"/>
      <c r="T162" s="663"/>
      <c r="U162" s="90"/>
      <c r="V162" s="90"/>
      <c r="AA162" s="80" t="s">
        <v>425</v>
      </c>
      <c r="AB162" s="317" t="str">
        <f>N162&amp;" - "&amp;O162</f>
        <v>لا  - لم يتم ذلك</v>
      </c>
      <c r="AC162" s="317" t="str">
        <f t="shared" si="19"/>
        <v>6-19-2-لا  - لم يتم ذلك</v>
      </c>
      <c r="AD162" s="319">
        <f t="shared" si="18"/>
        <v>0</v>
      </c>
      <c r="AE162" s="320">
        <f>IF(AD162="","",AD162*$R$159)</f>
        <v>0</v>
      </c>
      <c r="AF162" s="320">
        <v>1</v>
      </c>
      <c r="AG162" s="321"/>
      <c r="AJ162" s="130"/>
    </row>
    <row r="163" spans="1:36" ht="23.25" x14ac:dyDescent="0.5">
      <c r="A163" s="613"/>
      <c r="B163" s="616"/>
      <c r="C163" s="619"/>
      <c r="D163" s="622"/>
      <c r="E163" s="683"/>
      <c r="F163" s="683"/>
      <c r="G163" s="628"/>
      <c r="H163" s="674"/>
      <c r="I163" s="543"/>
      <c r="J163" s="545"/>
      <c r="K163" s="638"/>
      <c r="L163" s="608"/>
      <c r="M163" s="545"/>
      <c r="N163" s="120" t="s">
        <v>3</v>
      </c>
      <c r="O163" s="120" t="s">
        <v>237</v>
      </c>
      <c r="P163" s="142">
        <v>1</v>
      </c>
      <c r="Q163" s="550"/>
      <c r="R163" s="552"/>
      <c r="S163" s="642"/>
      <c r="T163" s="663"/>
      <c r="U163" s="90"/>
      <c r="V163" s="90"/>
      <c r="AA163" s="80" t="str">
        <f>AA162</f>
        <v>6-19-2</v>
      </c>
      <c r="AB163" s="317" t="str">
        <f>N163&amp;" - "&amp;O163</f>
        <v>نعم - تم ذلك</v>
      </c>
      <c r="AC163" s="317" t="str">
        <f t="shared" si="19"/>
        <v>6-19-2-نعم - تم ذلك</v>
      </c>
      <c r="AD163" s="319">
        <f t="shared" si="18"/>
        <v>1</v>
      </c>
      <c r="AE163" s="320">
        <f t="shared" ref="AE163" si="24">IF(AD163="","",AD163*$R$159)</f>
        <v>2</v>
      </c>
      <c r="AF163" s="320">
        <v>1</v>
      </c>
      <c r="AG163" s="321"/>
      <c r="AJ163" s="130"/>
    </row>
    <row r="164" spans="1:36" ht="23.25" x14ac:dyDescent="0.5">
      <c r="A164" s="613"/>
      <c r="B164" s="616"/>
      <c r="C164" s="619"/>
      <c r="D164" s="622"/>
      <c r="E164" s="171"/>
      <c r="F164" s="172"/>
      <c r="G164" s="173"/>
      <c r="H164" s="97"/>
      <c r="I164" s="92"/>
      <c r="J164" s="36"/>
      <c r="K164" s="155"/>
      <c r="L164" s="36"/>
      <c r="M164" s="36"/>
      <c r="N164" s="39"/>
      <c r="O164" s="39"/>
      <c r="P164" s="156"/>
      <c r="Q164" s="155"/>
      <c r="R164" s="97"/>
      <c r="S164" s="175"/>
      <c r="T164" s="663"/>
      <c r="U164" s="90"/>
      <c r="V164" s="90"/>
      <c r="AD164" s="319" t="str">
        <f t="shared" si="18"/>
        <v/>
      </c>
      <c r="AE164" s="320"/>
      <c r="AF164" s="320"/>
      <c r="AG164" s="321"/>
      <c r="AJ164" s="130"/>
    </row>
    <row r="165" spans="1:36" ht="23.25" x14ac:dyDescent="0.5">
      <c r="A165" s="613"/>
      <c r="B165" s="616"/>
      <c r="C165" s="619"/>
      <c r="D165" s="622"/>
      <c r="E165" s="684">
        <v>20</v>
      </c>
      <c r="F165" s="684">
        <v>3</v>
      </c>
      <c r="G165" s="628" t="s">
        <v>302</v>
      </c>
      <c r="H165" s="630">
        <v>3</v>
      </c>
      <c r="I165" s="633">
        <v>1</v>
      </c>
      <c r="J165" s="592" t="s">
        <v>303</v>
      </c>
      <c r="K165" s="633">
        <v>1</v>
      </c>
      <c r="L165" s="592" t="s">
        <v>158</v>
      </c>
      <c r="M165" s="592" t="s">
        <v>301</v>
      </c>
      <c r="N165" s="48" t="s">
        <v>125</v>
      </c>
      <c r="O165" s="48" t="s">
        <v>304</v>
      </c>
      <c r="P165" s="133" t="s">
        <v>2</v>
      </c>
      <c r="Q165" s="550">
        <v>100</v>
      </c>
      <c r="R165" s="661">
        <f>Q165*K165*0.01</f>
        <v>1</v>
      </c>
      <c r="S165" s="639">
        <f>SUM(R165:R172)</f>
        <v>3</v>
      </c>
      <c r="T165" s="663"/>
      <c r="U165" s="90"/>
      <c r="V165" s="90"/>
      <c r="AA165" s="80" t="s">
        <v>426</v>
      </c>
      <c r="AB165" s="317" t="str">
        <f>N165&amp;" - "&amp;O165</f>
        <v>لا  - لم يتم التحديد</v>
      </c>
      <c r="AC165" s="317" t="str">
        <f t="shared" si="19"/>
        <v>6-20-1-لا  - لم يتم التحديد</v>
      </c>
      <c r="AD165" s="319">
        <f t="shared" si="18"/>
        <v>0</v>
      </c>
      <c r="AE165" s="320">
        <f>IF(AD165="","",AD165*$R$165)</f>
        <v>0</v>
      </c>
      <c r="AF165" s="320">
        <v>1</v>
      </c>
      <c r="AG165" s="321"/>
      <c r="AJ165" s="130"/>
    </row>
    <row r="166" spans="1:36" ht="23.25" x14ac:dyDescent="0.5">
      <c r="A166" s="613"/>
      <c r="B166" s="616"/>
      <c r="C166" s="619"/>
      <c r="D166" s="622"/>
      <c r="E166" s="682"/>
      <c r="F166" s="682"/>
      <c r="G166" s="628"/>
      <c r="H166" s="630"/>
      <c r="I166" s="633"/>
      <c r="J166" s="571"/>
      <c r="K166" s="633"/>
      <c r="L166" s="592"/>
      <c r="M166" s="571"/>
      <c r="N166" s="48" t="s">
        <v>3</v>
      </c>
      <c r="O166" s="48" t="s">
        <v>305</v>
      </c>
      <c r="P166" s="133">
        <v>1</v>
      </c>
      <c r="Q166" s="660"/>
      <c r="R166" s="661"/>
      <c r="S166" s="677"/>
      <c r="T166" s="663"/>
      <c r="U166" s="90"/>
      <c r="V166" s="90"/>
      <c r="AA166" s="80" t="str">
        <f>AA165</f>
        <v>6-20-1</v>
      </c>
      <c r="AB166" s="317" t="str">
        <f>N166&amp;" - "&amp;O166</f>
        <v>نعم - تم التحديد</v>
      </c>
      <c r="AC166" s="317" t="str">
        <f t="shared" si="19"/>
        <v>6-20-1-نعم - تم التحديد</v>
      </c>
      <c r="AD166" s="319">
        <f t="shared" si="18"/>
        <v>1</v>
      </c>
      <c r="AE166" s="320">
        <f>IF(AD166="","",AD166*$R$165)</f>
        <v>1</v>
      </c>
      <c r="AF166" s="320">
        <v>1</v>
      </c>
      <c r="AG166" s="321"/>
      <c r="AJ166" s="130"/>
    </row>
    <row r="167" spans="1:36" ht="23.25" x14ac:dyDescent="0.5">
      <c r="A167" s="613"/>
      <c r="B167" s="616"/>
      <c r="C167" s="619"/>
      <c r="D167" s="622"/>
      <c r="E167" s="682"/>
      <c r="F167" s="682"/>
      <c r="G167" s="143"/>
      <c r="H167" s="630"/>
      <c r="I167" s="151"/>
      <c r="J167" s="39"/>
      <c r="K167" s="92"/>
      <c r="L167" s="36"/>
      <c r="M167" s="39"/>
      <c r="N167" s="39"/>
      <c r="O167" s="39"/>
      <c r="P167" s="156"/>
      <c r="Q167" s="92"/>
      <c r="R167" s="180"/>
      <c r="S167" s="677"/>
      <c r="T167" s="663"/>
      <c r="U167" s="90"/>
      <c r="V167" s="90"/>
      <c r="AD167" s="319" t="str">
        <f t="shared" si="18"/>
        <v/>
      </c>
      <c r="AE167" s="320"/>
      <c r="AF167" s="320"/>
      <c r="AG167" s="321"/>
      <c r="AJ167" s="130"/>
    </row>
    <row r="168" spans="1:36" ht="23.25" x14ac:dyDescent="0.5">
      <c r="A168" s="613"/>
      <c r="B168" s="616"/>
      <c r="C168" s="619"/>
      <c r="D168" s="622"/>
      <c r="E168" s="682"/>
      <c r="F168" s="682"/>
      <c r="G168" s="628" t="s">
        <v>306</v>
      </c>
      <c r="H168" s="630"/>
      <c r="I168" s="633">
        <v>2</v>
      </c>
      <c r="J168" s="592" t="s">
        <v>307</v>
      </c>
      <c r="K168" s="633">
        <v>2</v>
      </c>
      <c r="L168" s="592" t="s">
        <v>140</v>
      </c>
      <c r="M168" s="592" t="s">
        <v>308</v>
      </c>
      <c r="N168" s="117" t="s">
        <v>125</v>
      </c>
      <c r="O168" s="117" t="s">
        <v>309</v>
      </c>
      <c r="P168" s="144">
        <v>1</v>
      </c>
      <c r="Q168" s="550">
        <v>100</v>
      </c>
      <c r="R168" s="598">
        <f>Q168*K168*0.01</f>
        <v>2</v>
      </c>
      <c r="S168" s="677"/>
      <c r="T168" s="663"/>
      <c r="U168" s="90"/>
      <c r="V168" s="90"/>
      <c r="AA168" s="80" t="s">
        <v>427</v>
      </c>
      <c r="AB168" s="317" t="str">
        <f>N168&amp;" - "&amp;O168</f>
        <v>لا  - لم يتم الاشتباه</v>
      </c>
      <c r="AC168" s="317" t="str">
        <f t="shared" si="19"/>
        <v>6-20-2-لا  - لم يتم الاشتباه</v>
      </c>
      <c r="AD168" s="319">
        <f t="shared" si="18"/>
        <v>1</v>
      </c>
      <c r="AE168" s="320">
        <f>IF(AD168="","",AD168*$R$168)</f>
        <v>2</v>
      </c>
      <c r="AF168" s="320">
        <v>1</v>
      </c>
      <c r="AG168" s="321"/>
      <c r="AJ168" s="130"/>
    </row>
    <row r="169" spans="1:36" ht="23.25" x14ac:dyDescent="0.5">
      <c r="A169" s="613"/>
      <c r="B169" s="616"/>
      <c r="C169" s="619"/>
      <c r="D169" s="622"/>
      <c r="E169" s="682"/>
      <c r="F169" s="682"/>
      <c r="G169" s="628"/>
      <c r="H169" s="630"/>
      <c r="I169" s="633"/>
      <c r="J169" s="571"/>
      <c r="K169" s="633"/>
      <c r="L169" s="592"/>
      <c r="M169" s="571"/>
      <c r="N169" s="48" t="s">
        <v>3</v>
      </c>
      <c r="O169" s="658" t="s">
        <v>14</v>
      </c>
      <c r="P169" s="659"/>
      <c r="Q169" s="550"/>
      <c r="R169" s="598"/>
      <c r="S169" s="677"/>
      <c r="T169" s="663"/>
      <c r="U169" s="90"/>
      <c r="V169" s="90"/>
      <c r="AA169" s="80" t="str">
        <f>AA168</f>
        <v>6-20-2</v>
      </c>
      <c r="AB169" s="317" t="str">
        <f>N169&amp;" - "&amp;O169</f>
        <v>نعم - يتم الانتقال إلى السؤال التالي</v>
      </c>
      <c r="AC169" s="317" t="str">
        <f t="shared" si="19"/>
        <v>6-20-2-نعم - يتم الانتقال إلى السؤال التالي</v>
      </c>
      <c r="AD169" s="319" t="str">
        <f t="shared" si="18"/>
        <v/>
      </c>
      <c r="AE169" s="320" t="s">
        <v>374</v>
      </c>
      <c r="AF169" s="320">
        <v>1</v>
      </c>
      <c r="AG169" s="321"/>
      <c r="AJ169" s="130"/>
    </row>
    <row r="170" spans="1:36" ht="23.25" x14ac:dyDescent="0.5">
      <c r="A170" s="613"/>
      <c r="B170" s="616"/>
      <c r="C170" s="619"/>
      <c r="D170" s="622"/>
      <c r="E170" s="682"/>
      <c r="F170" s="682"/>
      <c r="G170" s="628"/>
      <c r="H170" s="630"/>
      <c r="I170" s="151"/>
      <c r="J170" s="168"/>
      <c r="K170" s="633"/>
      <c r="L170" s="153"/>
      <c r="M170" s="39"/>
      <c r="N170" s="39"/>
      <c r="O170" s="174"/>
      <c r="P170" s="156"/>
      <c r="Q170" s="550"/>
      <c r="R170" s="598"/>
      <c r="S170" s="677"/>
      <c r="T170" s="663"/>
      <c r="U170" s="90"/>
      <c r="V170" s="90"/>
      <c r="AD170" s="319" t="str">
        <f t="shared" si="18"/>
        <v/>
      </c>
      <c r="AE170" s="320"/>
      <c r="AF170" s="320"/>
      <c r="AG170" s="321"/>
      <c r="AJ170" s="130"/>
    </row>
    <row r="171" spans="1:36" ht="23.25" x14ac:dyDescent="0.5">
      <c r="A171" s="613"/>
      <c r="B171" s="616"/>
      <c r="C171" s="619"/>
      <c r="D171" s="622"/>
      <c r="E171" s="682"/>
      <c r="F171" s="682"/>
      <c r="G171" s="628"/>
      <c r="H171" s="630"/>
      <c r="I171" s="633">
        <v>3</v>
      </c>
      <c r="J171" s="592" t="s">
        <v>310</v>
      </c>
      <c r="K171" s="633"/>
      <c r="L171" s="592" t="s">
        <v>140</v>
      </c>
      <c r="M171" s="592" t="s">
        <v>311</v>
      </c>
      <c r="N171" s="48" t="s">
        <v>125</v>
      </c>
      <c r="O171" s="48" t="s">
        <v>312</v>
      </c>
      <c r="P171" s="132" t="s">
        <v>2</v>
      </c>
      <c r="Q171" s="550"/>
      <c r="R171" s="598"/>
      <c r="S171" s="677"/>
      <c r="T171" s="663"/>
      <c r="U171" s="90"/>
      <c r="V171" s="90"/>
      <c r="AA171" s="80" t="s">
        <v>428</v>
      </c>
      <c r="AB171" s="317" t="str">
        <f>N171&amp;" - "&amp;O171</f>
        <v>لا  - لم تلتزم</v>
      </c>
      <c r="AC171" s="317" t="str">
        <f t="shared" si="19"/>
        <v>6-20-3-لا  - لم تلتزم</v>
      </c>
      <c r="AD171" s="319">
        <f t="shared" si="18"/>
        <v>0</v>
      </c>
      <c r="AE171" s="320">
        <f t="shared" ref="AE171:AE172" si="25">IF(AD171="","",AD171*$R$168)</f>
        <v>0</v>
      </c>
      <c r="AF171" s="320">
        <v>1</v>
      </c>
      <c r="AG171" s="321"/>
      <c r="AJ171" s="130"/>
    </row>
    <row r="172" spans="1:36" ht="24" thickBot="1" x14ac:dyDescent="0.55000000000000004">
      <c r="A172" s="614"/>
      <c r="B172" s="617"/>
      <c r="C172" s="620"/>
      <c r="D172" s="623"/>
      <c r="E172" s="685"/>
      <c r="F172" s="685"/>
      <c r="G172" s="679"/>
      <c r="H172" s="631"/>
      <c r="I172" s="634"/>
      <c r="J172" s="572"/>
      <c r="K172" s="634"/>
      <c r="L172" s="593"/>
      <c r="M172" s="572"/>
      <c r="N172" s="49" t="s">
        <v>3</v>
      </c>
      <c r="O172" s="181" t="s">
        <v>313</v>
      </c>
      <c r="P172" s="145">
        <v>1</v>
      </c>
      <c r="Q172" s="562"/>
      <c r="R172" s="599"/>
      <c r="S172" s="678"/>
      <c r="T172" s="665"/>
      <c r="U172" s="90"/>
      <c r="V172" s="90"/>
      <c r="AA172" s="80" t="str">
        <f>AA171</f>
        <v>6-20-3</v>
      </c>
      <c r="AB172" s="317" t="str">
        <f>N172&amp;" - "&amp;O172</f>
        <v>نعم - التزمت</v>
      </c>
      <c r="AC172" s="317" t="str">
        <f t="shared" si="19"/>
        <v>6-20-3-نعم - التزمت</v>
      </c>
      <c r="AD172" s="319">
        <f t="shared" si="18"/>
        <v>1</v>
      </c>
      <c r="AE172" s="320">
        <f t="shared" si="25"/>
        <v>2</v>
      </c>
      <c r="AF172" s="320">
        <v>1</v>
      </c>
      <c r="AG172" s="321"/>
      <c r="AJ172" s="130"/>
    </row>
    <row r="173" spans="1:36" ht="37.5" thickBot="1" x14ac:dyDescent="0.55000000000000004">
      <c r="A173" s="160"/>
      <c r="B173" s="359"/>
      <c r="C173" s="161"/>
      <c r="D173" s="162"/>
      <c r="E173" s="163"/>
      <c r="F173" s="163"/>
      <c r="G173" s="164"/>
      <c r="H173" s="110"/>
      <c r="I173" s="112"/>
      <c r="J173" s="38"/>
      <c r="K173" s="112"/>
      <c r="L173" s="37"/>
      <c r="M173" s="38"/>
      <c r="N173" s="38"/>
      <c r="O173" s="182"/>
      <c r="P173" s="165"/>
      <c r="Q173" s="112"/>
      <c r="R173" s="109"/>
      <c r="S173" s="163"/>
      <c r="T173" s="166"/>
      <c r="U173" s="90"/>
      <c r="V173" s="90"/>
      <c r="AD173" s="319" t="str">
        <f t="shared" si="18"/>
        <v/>
      </c>
      <c r="AE173" s="320"/>
      <c r="AF173" s="320"/>
      <c r="AG173" s="321"/>
      <c r="AJ173" s="130"/>
    </row>
    <row r="174" spans="1:36" ht="23.25" x14ac:dyDescent="0.5">
      <c r="A174" s="573" t="s">
        <v>33</v>
      </c>
      <c r="B174" s="576">
        <v>7</v>
      </c>
      <c r="C174" s="579" t="s">
        <v>314</v>
      </c>
      <c r="D174" s="582">
        <v>0.12</v>
      </c>
      <c r="E174" s="585">
        <v>21</v>
      </c>
      <c r="F174" s="585">
        <v>6</v>
      </c>
      <c r="G174" s="589" t="s">
        <v>315</v>
      </c>
      <c r="H174" s="654">
        <v>2</v>
      </c>
      <c r="I174" s="556">
        <v>1</v>
      </c>
      <c r="J174" s="558" t="s">
        <v>316</v>
      </c>
      <c r="K174" s="560">
        <v>2</v>
      </c>
      <c r="L174" s="558" t="s">
        <v>158</v>
      </c>
      <c r="M174" s="558" t="s">
        <v>317</v>
      </c>
      <c r="N174" s="149" t="s">
        <v>125</v>
      </c>
      <c r="O174" s="47" t="s">
        <v>318</v>
      </c>
      <c r="P174" s="183" t="s">
        <v>2</v>
      </c>
      <c r="Q174" s="549">
        <v>100</v>
      </c>
      <c r="R174" s="551">
        <f>Q174*K174*0.01</f>
        <v>2</v>
      </c>
      <c r="S174" s="600">
        <f>SUM(R174:R184)</f>
        <v>6</v>
      </c>
      <c r="T174" s="568">
        <f>SUM(S174:S196)</f>
        <v>12</v>
      </c>
      <c r="U174" s="90"/>
      <c r="V174" s="90"/>
      <c r="AA174" s="80" t="s">
        <v>429</v>
      </c>
      <c r="AB174" s="317" t="str">
        <f>N174&amp;" - "&amp;O174</f>
        <v>لا  - ليس جميع الموارد المالية ضمن الموارد المحدّدة</v>
      </c>
      <c r="AC174" s="317" t="str">
        <f t="shared" si="19"/>
        <v>7-21-1-لا  - ليس جميع الموارد المالية ضمن الموارد المحدّدة</v>
      </c>
      <c r="AD174" s="319">
        <f t="shared" si="18"/>
        <v>0</v>
      </c>
      <c r="AE174" s="320">
        <f>IF(AD174="","",AD174*$R$174)</f>
        <v>0</v>
      </c>
      <c r="AF174" s="320">
        <v>1</v>
      </c>
      <c r="AG174" s="321"/>
      <c r="AJ174" s="130"/>
    </row>
    <row r="175" spans="1:36" ht="23.25" x14ac:dyDescent="0.5">
      <c r="A175" s="574"/>
      <c r="B175" s="577"/>
      <c r="C175" s="580"/>
      <c r="D175" s="583"/>
      <c r="E175" s="586"/>
      <c r="F175" s="586"/>
      <c r="G175" s="539"/>
      <c r="H175" s="541"/>
      <c r="I175" s="543"/>
      <c r="J175" s="545"/>
      <c r="K175" s="547"/>
      <c r="L175" s="545"/>
      <c r="M175" s="545"/>
      <c r="N175" s="120" t="s">
        <v>3</v>
      </c>
      <c r="O175" s="184" t="s">
        <v>319</v>
      </c>
      <c r="P175" s="121">
        <v>1</v>
      </c>
      <c r="Q175" s="550"/>
      <c r="R175" s="552"/>
      <c r="S175" s="601"/>
      <c r="T175" s="569"/>
      <c r="U175" s="90"/>
      <c r="V175" s="90"/>
      <c r="AA175" s="80" t="str">
        <f>AA174</f>
        <v>7-21-1</v>
      </c>
      <c r="AB175" s="317" t="str">
        <f>N175&amp;" - "&amp;O175</f>
        <v>نعم - جميع الموارد المالية ضمن الموارد المحدّدة.</v>
      </c>
      <c r="AC175" s="317" t="str">
        <f t="shared" si="19"/>
        <v>7-21-1-نعم - جميع الموارد المالية ضمن الموارد المحدّدة.</v>
      </c>
      <c r="AD175" s="319">
        <f t="shared" si="18"/>
        <v>1</v>
      </c>
      <c r="AE175" s="320">
        <f t="shared" ref="AE175" si="26">IF(AD175="","",AD175*$R$174)</f>
        <v>2</v>
      </c>
      <c r="AF175" s="320">
        <v>1</v>
      </c>
      <c r="AG175" s="321"/>
      <c r="AJ175" s="130"/>
    </row>
    <row r="176" spans="1:36" ht="23.25" x14ac:dyDescent="0.5">
      <c r="A176" s="574"/>
      <c r="B176" s="577"/>
      <c r="C176" s="580"/>
      <c r="D176" s="583"/>
      <c r="E176" s="586"/>
      <c r="F176" s="586"/>
      <c r="G176" s="98"/>
      <c r="H176" s="97"/>
      <c r="I176" s="92"/>
      <c r="J176" s="36"/>
      <c r="K176" s="92"/>
      <c r="L176" s="36"/>
      <c r="M176" s="39"/>
      <c r="N176" s="36"/>
      <c r="O176" s="39"/>
      <c r="P176" s="99"/>
      <c r="Q176" s="92"/>
      <c r="R176" s="97"/>
      <c r="S176" s="601"/>
      <c r="T176" s="569"/>
      <c r="U176" s="90"/>
      <c r="V176" s="90"/>
      <c r="AD176" s="319" t="str">
        <f t="shared" si="18"/>
        <v/>
      </c>
      <c r="AE176" s="320"/>
      <c r="AF176" s="320"/>
      <c r="AG176" s="321"/>
      <c r="AJ176" s="130"/>
    </row>
    <row r="177" spans="1:36" ht="23.25" x14ac:dyDescent="0.5">
      <c r="A177" s="574"/>
      <c r="B177" s="577"/>
      <c r="C177" s="580"/>
      <c r="D177" s="583"/>
      <c r="E177" s="586"/>
      <c r="F177" s="586"/>
      <c r="G177" s="539" t="s">
        <v>320</v>
      </c>
      <c r="H177" s="541">
        <v>2</v>
      </c>
      <c r="I177" s="543">
        <v>2</v>
      </c>
      <c r="J177" s="545" t="s">
        <v>321</v>
      </c>
      <c r="K177" s="547">
        <v>2</v>
      </c>
      <c r="L177" s="545" t="s">
        <v>140</v>
      </c>
      <c r="M177" s="545" t="s">
        <v>322</v>
      </c>
      <c r="N177" s="120" t="s">
        <v>125</v>
      </c>
      <c r="O177" s="120" t="s">
        <v>323</v>
      </c>
      <c r="P177" s="121" t="s">
        <v>2</v>
      </c>
      <c r="Q177" s="550">
        <v>100</v>
      </c>
      <c r="R177" s="552">
        <f>Q177*K177*0.01</f>
        <v>2</v>
      </c>
      <c r="S177" s="601"/>
      <c r="T177" s="569"/>
      <c r="U177" s="90"/>
      <c r="V177" s="90"/>
      <c r="AA177" s="80" t="s">
        <v>430</v>
      </c>
      <c r="AB177" s="317" t="str">
        <f>N177&amp;" - "&amp;O177</f>
        <v>لا  - لم يتم الالتزام.</v>
      </c>
      <c r="AC177" s="317" t="str">
        <f t="shared" si="19"/>
        <v>7-21-2-لا  - لم يتم الالتزام.</v>
      </c>
      <c r="AD177" s="319">
        <f t="shared" si="18"/>
        <v>0</v>
      </c>
      <c r="AE177" s="320">
        <f>IF(AD177="","",AD177*$R$177)</f>
        <v>0</v>
      </c>
      <c r="AF177" s="320">
        <v>1</v>
      </c>
      <c r="AG177" s="321"/>
      <c r="AJ177" s="130"/>
    </row>
    <row r="178" spans="1:36" ht="23.25" x14ac:dyDescent="0.5">
      <c r="A178" s="574"/>
      <c r="B178" s="577"/>
      <c r="C178" s="580"/>
      <c r="D178" s="583"/>
      <c r="E178" s="586"/>
      <c r="F178" s="586"/>
      <c r="G178" s="539"/>
      <c r="H178" s="541"/>
      <c r="I178" s="543"/>
      <c r="J178" s="545"/>
      <c r="K178" s="547"/>
      <c r="L178" s="545"/>
      <c r="M178" s="545"/>
      <c r="N178" s="564" t="s">
        <v>3</v>
      </c>
      <c r="O178" s="120" t="s">
        <v>324</v>
      </c>
      <c r="P178" s="121">
        <v>0.5</v>
      </c>
      <c r="Q178" s="550"/>
      <c r="R178" s="552"/>
      <c r="S178" s="601"/>
      <c r="T178" s="569"/>
      <c r="U178" s="90"/>
      <c r="V178" s="90"/>
      <c r="AA178" s="80" t="str">
        <f>AA177</f>
        <v>7-21-2</v>
      </c>
      <c r="AB178" s="317" t="str">
        <f>N178&amp;" - "&amp;O178</f>
        <v>نعم - تم الالتزام بشكل جزئي.</v>
      </c>
      <c r="AC178" s="317" t="str">
        <f t="shared" si="19"/>
        <v>7-21-2-نعم - تم الالتزام بشكل جزئي.</v>
      </c>
      <c r="AD178" s="319">
        <f t="shared" si="18"/>
        <v>0.5</v>
      </c>
      <c r="AE178" s="320">
        <f t="shared" ref="AE178:AE179" si="27">IF(AD178="","",AD178*$R$177)</f>
        <v>1</v>
      </c>
      <c r="AF178" s="320">
        <v>1</v>
      </c>
      <c r="AG178" s="321"/>
      <c r="AJ178" s="130"/>
    </row>
    <row r="179" spans="1:36" ht="23.25" x14ac:dyDescent="0.5">
      <c r="A179" s="574"/>
      <c r="B179" s="577"/>
      <c r="C179" s="580"/>
      <c r="D179" s="583"/>
      <c r="E179" s="586"/>
      <c r="F179" s="586"/>
      <c r="G179" s="539"/>
      <c r="H179" s="541"/>
      <c r="I179" s="543"/>
      <c r="J179" s="545"/>
      <c r="K179" s="547"/>
      <c r="L179" s="545"/>
      <c r="M179" s="545"/>
      <c r="N179" s="564"/>
      <c r="O179" s="120" t="s">
        <v>325</v>
      </c>
      <c r="P179" s="121">
        <v>1</v>
      </c>
      <c r="Q179" s="550"/>
      <c r="R179" s="552"/>
      <c r="S179" s="601"/>
      <c r="T179" s="569"/>
      <c r="U179" s="90"/>
      <c r="V179" s="90"/>
      <c r="AA179" s="80" t="str">
        <f>AA178</f>
        <v>7-21-2</v>
      </c>
      <c r="AB179" s="317" t="str">
        <f>N178&amp;" - "&amp;O179</f>
        <v>نعم - تم الالتزام بشكل متكامل</v>
      </c>
      <c r="AC179" s="317" t="str">
        <f t="shared" si="19"/>
        <v>7-21-2-نعم - تم الالتزام بشكل متكامل</v>
      </c>
      <c r="AD179" s="319">
        <f t="shared" si="18"/>
        <v>1</v>
      </c>
      <c r="AE179" s="320">
        <f t="shared" si="27"/>
        <v>2</v>
      </c>
      <c r="AF179" s="320">
        <v>1</v>
      </c>
      <c r="AG179" s="321"/>
      <c r="AJ179" s="130"/>
    </row>
    <row r="180" spans="1:36" ht="23.25" x14ac:dyDescent="0.5">
      <c r="A180" s="574"/>
      <c r="B180" s="577"/>
      <c r="C180" s="580"/>
      <c r="D180" s="583"/>
      <c r="E180" s="586"/>
      <c r="F180" s="586"/>
      <c r="G180" s="98"/>
      <c r="H180" s="97"/>
      <c r="I180" s="92"/>
      <c r="J180" s="36"/>
      <c r="K180" s="92"/>
      <c r="L180" s="36"/>
      <c r="M180" s="39"/>
      <c r="N180" s="36"/>
      <c r="O180" s="39"/>
      <c r="P180" s="99"/>
      <c r="Q180" s="92"/>
      <c r="R180" s="97"/>
      <c r="S180" s="601"/>
      <c r="T180" s="569"/>
      <c r="U180" s="90"/>
      <c r="V180" s="90"/>
      <c r="AD180" s="319" t="str">
        <f t="shared" si="18"/>
        <v/>
      </c>
      <c r="AE180" s="320"/>
      <c r="AF180" s="320"/>
      <c r="AG180" s="321"/>
      <c r="AJ180" s="130"/>
    </row>
    <row r="181" spans="1:36" ht="23.25" x14ac:dyDescent="0.5">
      <c r="A181" s="574"/>
      <c r="B181" s="577"/>
      <c r="C181" s="580"/>
      <c r="D181" s="583"/>
      <c r="E181" s="586"/>
      <c r="F181" s="586"/>
      <c r="G181" s="539" t="s">
        <v>326</v>
      </c>
      <c r="H181" s="541">
        <v>2</v>
      </c>
      <c r="I181" s="543">
        <v>3</v>
      </c>
      <c r="J181" s="545" t="s">
        <v>327</v>
      </c>
      <c r="K181" s="547">
        <v>2</v>
      </c>
      <c r="L181" s="545" t="s">
        <v>158</v>
      </c>
      <c r="M181" s="545" t="s">
        <v>328</v>
      </c>
      <c r="N181" s="120" t="s">
        <v>125</v>
      </c>
      <c r="O181" s="120" t="s">
        <v>507</v>
      </c>
      <c r="P181" s="121">
        <v>1</v>
      </c>
      <c r="Q181" s="647">
        <v>100</v>
      </c>
      <c r="R181" s="655">
        <f>Q181*K181*0.01</f>
        <v>2</v>
      </c>
      <c r="S181" s="601"/>
      <c r="T181" s="569"/>
      <c r="U181" s="90"/>
      <c r="V181" s="90"/>
      <c r="AA181" s="80" t="s">
        <v>431</v>
      </c>
      <c r="AB181" s="317" t="str">
        <f>N181&amp;" - "&amp;O181</f>
        <v>لا  - لا يتم استقبال التبرعات</v>
      </c>
      <c r="AC181" s="317" t="str">
        <f t="shared" si="19"/>
        <v>7-21-3-لا  - لا يتم استقبال التبرعات</v>
      </c>
      <c r="AD181" s="319">
        <f t="shared" si="18"/>
        <v>1</v>
      </c>
      <c r="AE181" s="320">
        <f>IF(AD181="","",AD181*$R$181)</f>
        <v>2</v>
      </c>
      <c r="AF181" s="320">
        <v>1</v>
      </c>
      <c r="AG181" s="321"/>
      <c r="AJ181" s="130"/>
    </row>
    <row r="182" spans="1:36" ht="23.25" x14ac:dyDescent="0.5">
      <c r="A182" s="574"/>
      <c r="B182" s="577"/>
      <c r="C182" s="580"/>
      <c r="D182" s="583"/>
      <c r="E182" s="586"/>
      <c r="F182" s="586"/>
      <c r="G182" s="539"/>
      <c r="H182" s="541"/>
      <c r="I182" s="543"/>
      <c r="J182" s="545"/>
      <c r="K182" s="547"/>
      <c r="L182" s="545"/>
      <c r="M182" s="545"/>
      <c r="N182" s="120" t="s">
        <v>3</v>
      </c>
      <c r="O182" s="564" t="s">
        <v>14</v>
      </c>
      <c r="P182" s="564"/>
      <c r="Q182" s="648"/>
      <c r="R182" s="656"/>
      <c r="S182" s="601"/>
      <c r="T182" s="569"/>
      <c r="U182" s="90"/>
      <c r="V182" s="90"/>
      <c r="AA182" s="80" t="str">
        <f>AA181</f>
        <v>7-21-3</v>
      </c>
      <c r="AB182" s="317" t="str">
        <f>N182&amp;" - "&amp;O182</f>
        <v>نعم - يتم الانتقال إلى السؤال التالي</v>
      </c>
      <c r="AC182" s="317" t="str">
        <f t="shared" si="19"/>
        <v>7-21-3-نعم - يتم الانتقال إلى السؤال التالي</v>
      </c>
      <c r="AD182" s="319" t="str">
        <f t="shared" si="18"/>
        <v/>
      </c>
      <c r="AE182" s="320" t="s">
        <v>374</v>
      </c>
      <c r="AF182" s="320">
        <v>1</v>
      </c>
      <c r="AG182" s="321"/>
      <c r="AJ182" s="130"/>
    </row>
    <row r="183" spans="1:36" ht="23.25" x14ac:dyDescent="0.5">
      <c r="A183" s="574"/>
      <c r="B183" s="577"/>
      <c r="C183" s="580"/>
      <c r="D183" s="583"/>
      <c r="E183" s="586"/>
      <c r="F183" s="586"/>
      <c r="G183" s="539"/>
      <c r="H183" s="541"/>
      <c r="I183" s="543">
        <v>4</v>
      </c>
      <c r="J183" s="545" t="s">
        <v>18</v>
      </c>
      <c r="K183" s="547"/>
      <c r="L183" s="545" t="s">
        <v>140</v>
      </c>
      <c r="M183" s="545" t="s">
        <v>329</v>
      </c>
      <c r="N183" s="120" t="s">
        <v>125</v>
      </c>
      <c r="O183" s="120" t="s">
        <v>148</v>
      </c>
      <c r="P183" s="121" t="s">
        <v>2</v>
      </c>
      <c r="Q183" s="648"/>
      <c r="R183" s="656"/>
      <c r="S183" s="601"/>
      <c r="T183" s="569"/>
      <c r="U183" s="90"/>
      <c r="V183" s="90"/>
      <c r="AA183" s="80" t="s">
        <v>432</v>
      </c>
      <c r="AB183" s="317" t="str">
        <f>N183&amp;" - "&amp;O183</f>
        <v>لا  - لا توجد موافقة</v>
      </c>
      <c r="AC183" s="317" t="str">
        <f t="shared" si="19"/>
        <v>7-21-4-لا  - لا توجد موافقة</v>
      </c>
      <c r="AD183" s="319">
        <f t="shared" si="18"/>
        <v>0</v>
      </c>
      <c r="AE183" s="320">
        <f>IF(AD183="","",AD183*$R$181)</f>
        <v>0</v>
      </c>
      <c r="AF183" s="320">
        <v>1</v>
      </c>
      <c r="AG183" s="321"/>
      <c r="AJ183" s="130"/>
    </row>
    <row r="184" spans="1:36" ht="23.25" x14ac:dyDescent="0.5">
      <c r="A184" s="574"/>
      <c r="B184" s="577"/>
      <c r="C184" s="580"/>
      <c r="D184" s="583"/>
      <c r="E184" s="586"/>
      <c r="F184" s="586"/>
      <c r="G184" s="539"/>
      <c r="H184" s="541"/>
      <c r="I184" s="543"/>
      <c r="J184" s="545"/>
      <c r="K184" s="547"/>
      <c r="L184" s="545"/>
      <c r="M184" s="545"/>
      <c r="N184" s="120" t="s">
        <v>3</v>
      </c>
      <c r="O184" s="120" t="s">
        <v>149</v>
      </c>
      <c r="P184" s="121">
        <v>1</v>
      </c>
      <c r="Q184" s="649"/>
      <c r="R184" s="657"/>
      <c r="S184" s="601"/>
      <c r="T184" s="569"/>
      <c r="U184" s="90"/>
      <c r="V184" s="90"/>
      <c r="AA184" s="80" t="str">
        <f>AA183</f>
        <v>7-21-4</v>
      </c>
      <c r="AB184" s="317" t="str">
        <f>N184&amp;" - "&amp;O184</f>
        <v>نعم - توجد موافقة</v>
      </c>
      <c r="AC184" s="317" t="str">
        <f t="shared" si="19"/>
        <v>7-21-4-نعم - توجد موافقة</v>
      </c>
      <c r="AD184" s="319">
        <f t="shared" si="18"/>
        <v>1</v>
      </c>
      <c r="AE184" s="320">
        <f t="shared" ref="AE184" si="28">IF(AD184="","",AD184*$R$181)</f>
        <v>2</v>
      </c>
      <c r="AF184" s="320">
        <v>1</v>
      </c>
      <c r="AG184" s="321"/>
      <c r="AJ184" s="130"/>
    </row>
    <row r="185" spans="1:36" ht="23.25" x14ac:dyDescent="0.5">
      <c r="A185" s="574"/>
      <c r="B185" s="577"/>
      <c r="C185" s="580"/>
      <c r="D185" s="583"/>
      <c r="E185" s="171"/>
      <c r="F185" s="172"/>
      <c r="G185" s="173"/>
      <c r="H185" s="97"/>
      <c r="I185" s="92"/>
      <c r="J185" s="36"/>
      <c r="K185" s="155"/>
      <c r="L185" s="36"/>
      <c r="M185" s="36"/>
      <c r="N185" s="39"/>
      <c r="O185" s="39"/>
      <c r="P185" s="156"/>
      <c r="Q185" s="155"/>
      <c r="R185" s="97"/>
      <c r="S185" s="175"/>
      <c r="T185" s="569"/>
      <c r="U185" s="90"/>
      <c r="V185" s="90"/>
      <c r="AD185" s="319" t="str">
        <f t="shared" si="18"/>
        <v/>
      </c>
      <c r="AE185" s="320"/>
      <c r="AF185" s="320"/>
      <c r="AG185" s="321"/>
      <c r="AJ185" s="130"/>
    </row>
    <row r="186" spans="1:36" ht="23.25" x14ac:dyDescent="0.5">
      <c r="A186" s="574"/>
      <c r="B186" s="577"/>
      <c r="C186" s="580"/>
      <c r="D186" s="583"/>
      <c r="E186" s="586">
        <v>22</v>
      </c>
      <c r="F186" s="586">
        <v>3</v>
      </c>
      <c r="G186" s="539" t="s">
        <v>330</v>
      </c>
      <c r="H186" s="541">
        <v>1</v>
      </c>
      <c r="I186" s="633">
        <v>6</v>
      </c>
      <c r="J186" s="592" t="s">
        <v>331</v>
      </c>
      <c r="K186" s="595">
        <v>3</v>
      </c>
      <c r="L186" s="592" t="s">
        <v>158</v>
      </c>
      <c r="M186" s="592" t="s">
        <v>332</v>
      </c>
      <c r="N186" s="117" t="s">
        <v>125</v>
      </c>
      <c r="O186" s="117" t="s">
        <v>333</v>
      </c>
      <c r="P186" s="185">
        <v>1</v>
      </c>
      <c r="Q186" s="647">
        <v>100</v>
      </c>
      <c r="R186" s="650">
        <f>Q186*K186*0.01</f>
        <v>3</v>
      </c>
      <c r="S186" s="566">
        <f>SUM(R186:R189)</f>
        <v>3</v>
      </c>
      <c r="T186" s="569"/>
      <c r="U186" s="90"/>
      <c r="V186" s="90"/>
      <c r="AA186" s="80" t="s">
        <v>433</v>
      </c>
      <c r="AB186" s="317" t="str">
        <f>N186&amp;" - "&amp;O186</f>
        <v>لا  - لا تمتلك المؤسسة أي عقارات .</v>
      </c>
      <c r="AC186" s="317" t="str">
        <f t="shared" si="19"/>
        <v>7-22-6-لا  - لا تمتلك المؤسسة أي عقارات .</v>
      </c>
      <c r="AD186" s="319">
        <f t="shared" si="18"/>
        <v>1</v>
      </c>
      <c r="AE186" s="320">
        <f>IF(AD186="","",AD186*$R$186)</f>
        <v>3</v>
      </c>
      <c r="AF186" s="320">
        <v>1</v>
      </c>
      <c r="AG186" s="321"/>
      <c r="AJ186" s="130"/>
    </row>
    <row r="187" spans="1:36" ht="23.25" x14ac:dyDescent="0.5">
      <c r="A187" s="574"/>
      <c r="B187" s="577"/>
      <c r="C187" s="580"/>
      <c r="D187" s="583"/>
      <c r="E187" s="586"/>
      <c r="F187" s="586"/>
      <c r="G187" s="539"/>
      <c r="H187" s="541"/>
      <c r="I187" s="633"/>
      <c r="J187" s="592"/>
      <c r="K187" s="595"/>
      <c r="L187" s="592"/>
      <c r="M187" s="592"/>
      <c r="N187" s="48" t="s">
        <v>3</v>
      </c>
      <c r="O187" s="571" t="s">
        <v>14</v>
      </c>
      <c r="P187" s="571"/>
      <c r="Q187" s="648"/>
      <c r="R187" s="651"/>
      <c r="S187" s="566"/>
      <c r="T187" s="569"/>
      <c r="U187" s="90"/>
      <c r="V187" s="90"/>
      <c r="AA187" s="80" t="str">
        <f>AA186</f>
        <v>7-22-6</v>
      </c>
      <c r="AB187" s="317" t="str">
        <f>N187&amp;" - "&amp;O187</f>
        <v>نعم - يتم الانتقال إلى السؤال التالي</v>
      </c>
      <c r="AC187" s="317" t="str">
        <f t="shared" si="19"/>
        <v>7-22-6-نعم - يتم الانتقال إلى السؤال التالي</v>
      </c>
      <c r="AD187" s="319" t="str">
        <f t="shared" si="18"/>
        <v/>
      </c>
      <c r="AE187" s="320" t="s">
        <v>374</v>
      </c>
      <c r="AF187" s="320">
        <v>1</v>
      </c>
      <c r="AG187" s="321"/>
      <c r="AJ187" s="130"/>
    </row>
    <row r="188" spans="1:36" ht="23.25" x14ac:dyDescent="0.5">
      <c r="A188" s="574"/>
      <c r="B188" s="577"/>
      <c r="C188" s="580"/>
      <c r="D188" s="583"/>
      <c r="E188" s="586"/>
      <c r="F188" s="586"/>
      <c r="G188" s="539"/>
      <c r="H188" s="541"/>
      <c r="I188" s="633">
        <v>7</v>
      </c>
      <c r="J188" s="592" t="s">
        <v>334</v>
      </c>
      <c r="K188" s="595"/>
      <c r="L188" s="592" t="s">
        <v>158</v>
      </c>
      <c r="M188" s="592" t="s">
        <v>335</v>
      </c>
      <c r="N188" s="48" t="s">
        <v>125</v>
      </c>
      <c r="O188" s="48" t="s">
        <v>148</v>
      </c>
      <c r="P188" s="133" t="s">
        <v>2</v>
      </c>
      <c r="Q188" s="648"/>
      <c r="R188" s="651"/>
      <c r="S188" s="566"/>
      <c r="T188" s="569"/>
      <c r="U188" s="90"/>
      <c r="V188" s="90"/>
      <c r="AA188" s="80" t="s">
        <v>434</v>
      </c>
      <c r="AB188" s="317" t="str">
        <f>N188&amp;" - "&amp;O188</f>
        <v>لا  - لا توجد موافقة</v>
      </c>
      <c r="AC188" s="317" t="str">
        <f t="shared" si="19"/>
        <v>7-22-7-لا  - لا توجد موافقة</v>
      </c>
      <c r="AD188" s="319">
        <f t="shared" si="18"/>
        <v>0</v>
      </c>
      <c r="AE188" s="320">
        <f>IF(AD188="","",AD188*$R$186)</f>
        <v>0</v>
      </c>
      <c r="AF188" s="320">
        <v>1</v>
      </c>
      <c r="AG188" s="321"/>
      <c r="AJ188" s="130"/>
    </row>
    <row r="189" spans="1:36" ht="23.25" x14ac:dyDescent="0.5">
      <c r="A189" s="574"/>
      <c r="B189" s="577"/>
      <c r="C189" s="580"/>
      <c r="D189" s="583"/>
      <c r="E189" s="610"/>
      <c r="F189" s="610"/>
      <c r="G189" s="590"/>
      <c r="H189" s="645"/>
      <c r="I189" s="640"/>
      <c r="J189" s="641"/>
      <c r="K189" s="646"/>
      <c r="L189" s="641"/>
      <c r="M189" s="641"/>
      <c r="N189" s="50" t="s">
        <v>3</v>
      </c>
      <c r="O189" s="50" t="s">
        <v>149</v>
      </c>
      <c r="P189" s="186">
        <v>1</v>
      </c>
      <c r="Q189" s="649"/>
      <c r="R189" s="652"/>
      <c r="S189" s="639"/>
      <c r="T189" s="569"/>
      <c r="U189" s="90"/>
      <c r="V189" s="90"/>
      <c r="AA189" s="80" t="str">
        <f>AA188</f>
        <v>7-22-7</v>
      </c>
      <c r="AB189" s="317" t="str">
        <f>N189&amp;" - "&amp;O189</f>
        <v>نعم - توجد موافقة</v>
      </c>
      <c r="AC189" s="317" t="str">
        <f t="shared" si="19"/>
        <v>7-22-7-نعم - توجد موافقة</v>
      </c>
      <c r="AD189" s="319">
        <f t="shared" si="18"/>
        <v>1</v>
      </c>
      <c r="AE189" s="320">
        <f>IF(AD189="","",AD189*$R$186)</f>
        <v>3</v>
      </c>
      <c r="AF189" s="320">
        <v>1</v>
      </c>
      <c r="AG189" s="321"/>
      <c r="AJ189" s="130"/>
    </row>
    <row r="190" spans="1:36" ht="23.25" x14ac:dyDescent="0.5">
      <c r="A190" s="574"/>
      <c r="B190" s="577"/>
      <c r="C190" s="580"/>
      <c r="D190" s="609"/>
      <c r="E190" s="171"/>
      <c r="F190" s="172"/>
      <c r="G190" s="173"/>
      <c r="H190" s="97"/>
      <c r="I190" s="92"/>
      <c r="J190" s="36"/>
      <c r="K190" s="155"/>
      <c r="L190" s="36"/>
      <c r="M190" s="36"/>
      <c r="N190" s="39"/>
      <c r="O190" s="39"/>
      <c r="P190" s="156"/>
      <c r="Q190" s="155"/>
      <c r="R190" s="97"/>
      <c r="S190" s="175"/>
      <c r="T190" s="653"/>
      <c r="U190" s="90"/>
      <c r="V190" s="90"/>
      <c r="AD190" s="319" t="str">
        <f t="shared" si="18"/>
        <v/>
      </c>
      <c r="AE190" s="320"/>
      <c r="AF190" s="320"/>
      <c r="AG190" s="321"/>
      <c r="AJ190" s="130"/>
    </row>
    <row r="191" spans="1:36" ht="23.25" x14ac:dyDescent="0.5">
      <c r="A191" s="574"/>
      <c r="B191" s="577"/>
      <c r="C191" s="580"/>
      <c r="D191" s="583"/>
      <c r="E191" s="611">
        <v>23</v>
      </c>
      <c r="F191" s="611">
        <v>3</v>
      </c>
      <c r="G191" s="635" t="s">
        <v>336</v>
      </c>
      <c r="H191" s="636">
        <v>3</v>
      </c>
      <c r="I191" s="637">
        <v>1</v>
      </c>
      <c r="J191" s="608" t="s">
        <v>337</v>
      </c>
      <c r="K191" s="638">
        <v>3</v>
      </c>
      <c r="L191" s="608" t="s">
        <v>158</v>
      </c>
      <c r="M191" s="608" t="s">
        <v>338</v>
      </c>
      <c r="N191" s="187" t="s">
        <v>125</v>
      </c>
      <c r="O191" s="187" t="s">
        <v>339</v>
      </c>
      <c r="P191" s="188">
        <v>1</v>
      </c>
      <c r="Q191" s="550">
        <v>100</v>
      </c>
      <c r="R191" s="552">
        <f>Q191*K191*0.01</f>
        <v>3</v>
      </c>
      <c r="S191" s="642">
        <f>SUM(R191:R196)</f>
        <v>3</v>
      </c>
      <c r="T191" s="569"/>
      <c r="U191" s="90"/>
      <c r="V191" s="90"/>
      <c r="AA191" s="80" t="s">
        <v>435</v>
      </c>
      <c r="AB191" s="317" t="str">
        <f>N191&amp;" - "&amp;O191</f>
        <v>لا  - لا تتعامل المؤسسة مع أموال الزكاة.</v>
      </c>
      <c r="AC191" s="317" t="str">
        <f t="shared" si="19"/>
        <v>7-23-1-لا  - لا تتعامل المؤسسة مع أموال الزكاة.</v>
      </c>
      <c r="AD191" s="319">
        <f t="shared" si="18"/>
        <v>1</v>
      </c>
      <c r="AE191" s="320">
        <f>IF(AD191="","",AD191*$R$191)</f>
        <v>3</v>
      </c>
      <c r="AF191" s="320">
        <v>1</v>
      </c>
      <c r="AG191" s="321"/>
      <c r="AJ191" s="130"/>
    </row>
    <row r="192" spans="1:36" ht="23.25" x14ac:dyDescent="0.5">
      <c r="A192" s="574"/>
      <c r="B192" s="577"/>
      <c r="C192" s="580"/>
      <c r="D192" s="583"/>
      <c r="E192" s="586"/>
      <c r="F192" s="586"/>
      <c r="G192" s="539"/>
      <c r="H192" s="541"/>
      <c r="I192" s="543"/>
      <c r="J192" s="545"/>
      <c r="K192" s="547"/>
      <c r="L192" s="545"/>
      <c r="M192" s="545"/>
      <c r="N192" s="120" t="s">
        <v>3</v>
      </c>
      <c r="O192" s="564" t="s">
        <v>14</v>
      </c>
      <c r="P192" s="643"/>
      <c r="Q192" s="550"/>
      <c r="R192" s="552"/>
      <c r="S192" s="601"/>
      <c r="T192" s="569"/>
      <c r="U192" s="90"/>
      <c r="V192" s="90"/>
      <c r="AA192" s="80" t="str">
        <f>AA191</f>
        <v>7-23-1</v>
      </c>
      <c r="AB192" s="317" t="str">
        <f>N192&amp;" - "&amp;O192</f>
        <v>نعم - يتم الانتقال إلى السؤال التالي</v>
      </c>
      <c r="AC192" s="317" t="str">
        <f t="shared" si="19"/>
        <v>7-23-1-نعم - يتم الانتقال إلى السؤال التالي</v>
      </c>
      <c r="AD192" s="319" t="str">
        <f t="shared" si="18"/>
        <v/>
      </c>
      <c r="AE192" s="320" t="s">
        <v>374</v>
      </c>
      <c r="AF192" s="320">
        <v>1</v>
      </c>
      <c r="AG192" s="321"/>
      <c r="AJ192" s="130"/>
    </row>
    <row r="193" spans="1:36" ht="23.25" x14ac:dyDescent="0.5">
      <c r="A193" s="574"/>
      <c r="B193" s="577"/>
      <c r="C193" s="580"/>
      <c r="D193" s="583"/>
      <c r="E193" s="586"/>
      <c r="F193" s="586"/>
      <c r="G193" s="143"/>
      <c r="H193" s="541"/>
      <c r="I193" s="92"/>
      <c r="J193" s="36"/>
      <c r="K193" s="547"/>
      <c r="L193" s="39"/>
      <c r="M193" s="36"/>
      <c r="N193" s="39"/>
      <c r="O193" s="36"/>
      <c r="P193" s="93"/>
      <c r="Q193" s="550"/>
      <c r="R193" s="552"/>
      <c r="S193" s="601"/>
      <c r="T193" s="569"/>
      <c r="U193" s="90"/>
      <c r="V193" s="90"/>
      <c r="AD193" s="319" t="str">
        <f t="shared" si="18"/>
        <v/>
      </c>
      <c r="AE193" s="320"/>
      <c r="AF193" s="320"/>
      <c r="AG193" s="321"/>
      <c r="AJ193" s="130"/>
    </row>
    <row r="194" spans="1:36" ht="23.25" x14ac:dyDescent="0.5">
      <c r="A194" s="574"/>
      <c r="B194" s="577"/>
      <c r="C194" s="580"/>
      <c r="D194" s="583"/>
      <c r="E194" s="586"/>
      <c r="F194" s="586"/>
      <c r="G194" s="539" t="s">
        <v>340</v>
      </c>
      <c r="H194" s="541"/>
      <c r="I194" s="543">
        <v>2</v>
      </c>
      <c r="J194" s="545" t="s">
        <v>341</v>
      </c>
      <c r="K194" s="547"/>
      <c r="L194" s="545" t="s">
        <v>140</v>
      </c>
      <c r="M194" s="545" t="s">
        <v>342</v>
      </c>
      <c r="N194" s="120" t="s">
        <v>125</v>
      </c>
      <c r="O194" s="120" t="s">
        <v>81</v>
      </c>
      <c r="P194" s="142" t="s">
        <v>2</v>
      </c>
      <c r="Q194" s="550"/>
      <c r="R194" s="552"/>
      <c r="S194" s="601"/>
      <c r="T194" s="569"/>
      <c r="U194" s="90"/>
      <c r="V194" s="90"/>
      <c r="AA194" s="80" t="s">
        <v>436</v>
      </c>
      <c r="AB194" s="317" t="str">
        <f>N194&amp;" - "&amp;O194</f>
        <v>لا  - لا يوجد</v>
      </c>
      <c r="AC194" s="317" t="str">
        <f t="shared" si="19"/>
        <v>7-23-2-لا  - لا يوجد</v>
      </c>
      <c r="AD194" s="319">
        <f t="shared" si="18"/>
        <v>0</v>
      </c>
      <c r="AE194" s="320">
        <f t="shared" ref="AE194:AE196" si="29">IF(AD194="","",AD194*$R$191)</f>
        <v>0</v>
      </c>
      <c r="AF194" s="320">
        <v>1</v>
      </c>
      <c r="AG194" s="321"/>
      <c r="AJ194" s="130"/>
    </row>
    <row r="195" spans="1:36" ht="23.25" x14ac:dyDescent="0.5">
      <c r="A195" s="574"/>
      <c r="B195" s="577"/>
      <c r="C195" s="580"/>
      <c r="D195" s="583"/>
      <c r="E195" s="586"/>
      <c r="F195" s="586"/>
      <c r="G195" s="539"/>
      <c r="H195" s="541"/>
      <c r="I195" s="543"/>
      <c r="J195" s="545"/>
      <c r="K195" s="547"/>
      <c r="L195" s="545"/>
      <c r="M195" s="545"/>
      <c r="N195" s="564" t="s">
        <v>3</v>
      </c>
      <c r="O195" s="44" t="s">
        <v>371</v>
      </c>
      <c r="P195" s="142">
        <v>0.5</v>
      </c>
      <c r="Q195" s="550"/>
      <c r="R195" s="552"/>
      <c r="S195" s="601"/>
      <c r="T195" s="569"/>
      <c r="U195" s="90"/>
      <c r="V195" s="90"/>
      <c r="AA195" s="80" t="str">
        <f>AA194</f>
        <v>7-23-2</v>
      </c>
      <c r="AB195" s="317" t="str">
        <f t="shared" ref="AB195" si="30">N195&amp;" - "&amp;O195</f>
        <v>نعم - يوجد حساب مستقل أو سجل لمصارف الزكاة .</v>
      </c>
      <c r="AC195" s="317" t="str">
        <f t="shared" si="19"/>
        <v>7-23-2-نعم - يوجد حساب مستقل أو سجل لمصارف الزكاة .</v>
      </c>
      <c r="AD195" s="319">
        <f t="shared" ref="AD195:AD210" si="31">IF(AB195="","",IF(AND(LEN(AB195)=36,RIGHT(AB195,6)="التالي"),"",IF(P195="صفر",0,P195)))</f>
        <v>0.5</v>
      </c>
      <c r="AE195" s="320">
        <f t="shared" si="29"/>
        <v>1.5</v>
      </c>
      <c r="AF195" s="320">
        <v>1</v>
      </c>
      <c r="AG195" s="321"/>
      <c r="AJ195" s="130"/>
    </row>
    <row r="196" spans="1:36" ht="24" thickBot="1" x14ac:dyDescent="0.55000000000000004">
      <c r="A196" s="575"/>
      <c r="B196" s="578"/>
      <c r="C196" s="581"/>
      <c r="D196" s="584"/>
      <c r="E196" s="587"/>
      <c r="F196" s="587"/>
      <c r="G196" s="540"/>
      <c r="H196" s="542"/>
      <c r="I196" s="544"/>
      <c r="J196" s="546"/>
      <c r="K196" s="548"/>
      <c r="L196" s="546"/>
      <c r="M196" s="546"/>
      <c r="N196" s="644"/>
      <c r="O196" s="45" t="s">
        <v>450</v>
      </c>
      <c r="P196" s="189">
        <v>1</v>
      </c>
      <c r="Q196" s="562"/>
      <c r="R196" s="563"/>
      <c r="S196" s="603"/>
      <c r="T196" s="570"/>
      <c r="U196" s="90"/>
      <c r="V196" s="90"/>
      <c r="AA196" s="80" t="str">
        <f>AA195</f>
        <v>7-23-2</v>
      </c>
      <c r="AB196" s="317" t="str">
        <f>N195&amp;" - "&amp;O196</f>
        <v>نعم - يوجد حساب مستقل + سجل لمصارف الزكاة .</v>
      </c>
      <c r="AC196" s="317" t="str">
        <f t="shared" ref="AC196:AC210" si="32">AA196&amp;"-"&amp;AB196</f>
        <v>7-23-2-نعم - يوجد حساب مستقل + سجل لمصارف الزكاة .</v>
      </c>
      <c r="AD196" s="319">
        <f t="shared" si="31"/>
        <v>1</v>
      </c>
      <c r="AE196" s="320">
        <f t="shared" si="29"/>
        <v>3</v>
      </c>
      <c r="AF196" s="320">
        <v>1</v>
      </c>
      <c r="AG196" s="321"/>
      <c r="AJ196" s="130"/>
    </row>
    <row r="197" spans="1:36" ht="37.5" thickBot="1" x14ac:dyDescent="0.55000000000000004">
      <c r="A197" s="160"/>
      <c r="B197" s="359"/>
      <c r="C197" s="161"/>
      <c r="D197" s="162"/>
      <c r="E197" s="163"/>
      <c r="F197" s="163"/>
      <c r="G197" s="164"/>
      <c r="H197" s="110"/>
      <c r="I197" s="112"/>
      <c r="J197" s="37"/>
      <c r="K197" s="147"/>
      <c r="L197" s="37"/>
      <c r="M197" s="37"/>
      <c r="N197" s="38"/>
      <c r="O197" s="37"/>
      <c r="P197" s="165"/>
      <c r="Q197" s="147"/>
      <c r="R197" s="110"/>
      <c r="S197" s="163"/>
      <c r="T197" s="166"/>
      <c r="U197" s="90"/>
      <c r="V197" s="90"/>
      <c r="AD197" s="319" t="str">
        <f t="shared" si="31"/>
        <v/>
      </c>
      <c r="AE197" s="320"/>
      <c r="AF197" s="320"/>
      <c r="AG197" s="321"/>
      <c r="AJ197" s="130"/>
    </row>
    <row r="198" spans="1:36" ht="23.25" x14ac:dyDescent="0.5">
      <c r="A198" s="612" t="s">
        <v>34</v>
      </c>
      <c r="B198" s="615">
        <v>8</v>
      </c>
      <c r="C198" s="618" t="s">
        <v>343</v>
      </c>
      <c r="D198" s="621">
        <v>0.04</v>
      </c>
      <c r="E198" s="624">
        <v>24</v>
      </c>
      <c r="F198" s="624">
        <v>4</v>
      </c>
      <c r="G198" s="627" t="s">
        <v>344</v>
      </c>
      <c r="H198" s="629">
        <v>4</v>
      </c>
      <c r="I198" s="632"/>
      <c r="J198" s="591" t="s">
        <v>345</v>
      </c>
      <c r="K198" s="594">
        <v>4</v>
      </c>
      <c r="L198" s="591" t="s">
        <v>140</v>
      </c>
      <c r="M198" s="591" t="s">
        <v>346</v>
      </c>
      <c r="N198" s="115" t="s">
        <v>125</v>
      </c>
      <c r="O198" s="115" t="s">
        <v>215</v>
      </c>
      <c r="P198" s="190" t="s">
        <v>2</v>
      </c>
      <c r="Q198" s="549">
        <v>100</v>
      </c>
      <c r="R198" s="597">
        <f>Q198*K198*0.01</f>
        <v>4</v>
      </c>
      <c r="S198" s="565">
        <f>SUM(R198)</f>
        <v>4</v>
      </c>
      <c r="T198" s="568">
        <f>S198</f>
        <v>4</v>
      </c>
      <c r="U198" s="90"/>
      <c r="V198" s="90"/>
      <c r="AA198" s="80" t="s">
        <v>437</v>
      </c>
      <c r="AB198" s="317" t="str">
        <f>N198&amp;" - "&amp;O198</f>
        <v>لا  - لا يتم ذلك</v>
      </c>
      <c r="AC198" s="317" t="str">
        <f t="shared" si="32"/>
        <v>8-24-1-لا  - لا يتم ذلك</v>
      </c>
      <c r="AD198" s="319">
        <f t="shared" si="31"/>
        <v>0</v>
      </c>
      <c r="AE198" s="320">
        <f>IF(AD198="","",AD198*$R$198)</f>
        <v>0</v>
      </c>
      <c r="AF198" s="320">
        <v>1</v>
      </c>
      <c r="AG198" s="321"/>
      <c r="AJ198" s="130"/>
    </row>
    <row r="199" spans="1:36" ht="23.25" x14ac:dyDescent="0.5">
      <c r="A199" s="613"/>
      <c r="B199" s="616"/>
      <c r="C199" s="619"/>
      <c r="D199" s="622"/>
      <c r="E199" s="625"/>
      <c r="F199" s="625"/>
      <c r="G199" s="628"/>
      <c r="H199" s="630"/>
      <c r="I199" s="633"/>
      <c r="J199" s="592"/>
      <c r="K199" s="595"/>
      <c r="L199" s="592"/>
      <c r="M199" s="592"/>
      <c r="N199" s="571" t="s">
        <v>3</v>
      </c>
      <c r="O199" s="41" t="s">
        <v>347</v>
      </c>
      <c r="P199" s="133">
        <v>0.5</v>
      </c>
      <c r="Q199" s="550"/>
      <c r="R199" s="598"/>
      <c r="S199" s="566"/>
      <c r="T199" s="569"/>
      <c r="U199" s="90"/>
      <c r="V199" s="90"/>
      <c r="AA199" s="80" t="str">
        <f>AA198</f>
        <v>8-24-1</v>
      </c>
      <c r="AB199" s="317" t="str">
        <f>N199&amp;" - "&amp;O199</f>
        <v>نعم - يتم الحفظ بشكل جزئي</v>
      </c>
      <c r="AC199" s="317" t="str">
        <f t="shared" si="32"/>
        <v>8-24-1-نعم - يتم الحفظ بشكل جزئي</v>
      </c>
      <c r="AD199" s="319">
        <f t="shared" si="31"/>
        <v>0.5</v>
      </c>
      <c r="AE199" s="320">
        <f t="shared" ref="AE199:AE200" si="33">IF(AD199="","",AD199*$R$198)</f>
        <v>2</v>
      </c>
      <c r="AF199" s="320">
        <v>1</v>
      </c>
      <c r="AG199" s="321"/>
      <c r="AJ199" s="130"/>
    </row>
    <row r="200" spans="1:36" ht="24" thickBot="1" x14ac:dyDescent="0.55000000000000004">
      <c r="A200" s="614"/>
      <c r="B200" s="617"/>
      <c r="C200" s="620"/>
      <c r="D200" s="623"/>
      <c r="E200" s="626"/>
      <c r="F200" s="626"/>
      <c r="G200" s="191" t="s">
        <v>348</v>
      </c>
      <c r="H200" s="631"/>
      <c r="I200" s="634"/>
      <c r="J200" s="593"/>
      <c r="K200" s="596"/>
      <c r="L200" s="593"/>
      <c r="M200" s="593"/>
      <c r="N200" s="572"/>
      <c r="O200" s="49" t="s">
        <v>349</v>
      </c>
      <c r="P200" s="192">
        <v>1</v>
      </c>
      <c r="Q200" s="562"/>
      <c r="R200" s="599"/>
      <c r="S200" s="567"/>
      <c r="T200" s="570"/>
      <c r="U200" s="90"/>
      <c r="V200" s="90"/>
      <c r="AA200" s="80" t="str">
        <f>AA199</f>
        <v>8-24-1</v>
      </c>
      <c r="AB200" s="317" t="str">
        <f>N199&amp;" - "&amp;O200</f>
        <v>نعم - يتم الحفظ بشكل متكامل</v>
      </c>
      <c r="AC200" s="317" t="str">
        <f t="shared" si="32"/>
        <v>8-24-1-نعم - يتم الحفظ بشكل متكامل</v>
      </c>
      <c r="AD200" s="319">
        <f t="shared" si="31"/>
        <v>1</v>
      </c>
      <c r="AE200" s="320">
        <f t="shared" si="33"/>
        <v>4</v>
      </c>
      <c r="AF200" s="320">
        <v>1</v>
      </c>
      <c r="AG200" s="321"/>
      <c r="AJ200" s="130"/>
    </row>
    <row r="201" spans="1:36" ht="37.5" thickBot="1" x14ac:dyDescent="0.55000000000000004">
      <c r="A201" s="160"/>
      <c r="B201" s="359"/>
      <c r="C201" s="161"/>
      <c r="D201" s="162"/>
      <c r="E201" s="163"/>
      <c r="F201" s="163"/>
      <c r="G201" s="193"/>
      <c r="H201" s="110"/>
      <c r="I201" s="112"/>
      <c r="J201" s="37"/>
      <c r="K201" s="147"/>
      <c r="L201" s="37"/>
      <c r="M201" s="37"/>
      <c r="N201" s="38"/>
      <c r="O201" s="38"/>
      <c r="P201" s="165"/>
      <c r="Q201" s="147"/>
      <c r="R201" s="110"/>
      <c r="S201" s="163"/>
      <c r="T201" s="166"/>
      <c r="U201" s="90"/>
      <c r="V201" s="90"/>
      <c r="AD201" s="319" t="str">
        <f t="shared" si="31"/>
        <v/>
      </c>
      <c r="AE201" s="320"/>
      <c r="AF201" s="320"/>
      <c r="AG201" s="321"/>
      <c r="AJ201" s="130"/>
    </row>
    <row r="202" spans="1:36" ht="23.25" x14ac:dyDescent="0.5">
      <c r="A202" s="573" t="s">
        <v>350</v>
      </c>
      <c r="B202" s="576">
        <v>9</v>
      </c>
      <c r="C202" s="579" t="s">
        <v>351</v>
      </c>
      <c r="D202" s="582">
        <v>0.04</v>
      </c>
      <c r="E202" s="585">
        <v>25</v>
      </c>
      <c r="F202" s="585">
        <v>4</v>
      </c>
      <c r="G202" s="589" t="s">
        <v>352</v>
      </c>
      <c r="H202" s="553">
        <v>2</v>
      </c>
      <c r="I202" s="556">
        <v>1</v>
      </c>
      <c r="J202" s="558" t="s">
        <v>353</v>
      </c>
      <c r="K202" s="560">
        <v>2</v>
      </c>
      <c r="L202" s="558" t="s">
        <v>158</v>
      </c>
      <c r="M202" s="558" t="s">
        <v>354</v>
      </c>
      <c r="N202" s="136" t="s">
        <v>125</v>
      </c>
      <c r="O202" s="136" t="s">
        <v>355</v>
      </c>
      <c r="P202" s="141">
        <v>1</v>
      </c>
      <c r="Q202" s="549">
        <v>100</v>
      </c>
      <c r="R202" s="551">
        <f>Q202*K202*0.01</f>
        <v>2</v>
      </c>
      <c r="S202" s="600">
        <f>SUM(R202:R210)</f>
        <v>4</v>
      </c>
      <c r="T202" s="568">
        <f>S202</f>
        <v>4</v>
      </c>
      <c r="U202" s="90"/>
      <c r="V202" s="90"/>
      <c r="AA202" s="80" t="s">
        <v>438</v>
      </c>
      <c r="AB202" s="317" t="str">
        <f>N202&amp;" - "&amp;O202</f>
        <v xml:space="preserve">لا  - لا يوجد </v>
      </c>
      <c r="AC202" s="317" t="str">
        <f t="shared" si="32"/>
        <v xml:space="preserve">9-25-1-لا  - لا يوجد </v>
      </c>
      <c r="AD202" s="319">
        <f t="shared" si="31"/>
        <v>1</v>
      </c>
      <c r="AE202" s="320">
        <f>IF(AD202="","",AD202*$R$202)</f>
        <v>2</v>
      </c>
      <c r="AF202" s="320">
        <v>1</v>
      </c>
      <c r="AG202" s="321"/>
      <c r="AJ202" s="130"/>
    </row>
    <row r="203" spans="1:36" ht="23.25" x14ac:dyDescent="0.5">
      <c r="A203" s="574"/>
      <c r="B203" s="577"/>
      <c r="C203" s="580"/>
      <c r="D203" s="583"/>
      <c r="E203" s="586"/>
      <c r="F203" s="586"/>
      <c r="G203" s="590"/>
      <c r="H203" s="554"/>
      <c r="I203" s="557"/>
      <c r="J203" s="559"/>
      <c r="K203" s="547"/>
      <c r="L203" s="559"/>
      <c r="M203" s="559"/>
      <c r="N203" s="179" t="s">
        <v>3</v>
      </c>
      <c r="O203" s="604" t="s">
        <v>14</v>
      </c>
      <c r="P203" s="605"/>
      <c r="Q203" s="550"/>
      <c r="R203" s="552"/>
      <c r="S203" s="601"/>
      <c r="T203" s="569"/>
      <c r="U203" s="90"/>
      <c r="V203" s="90"/>
      <c r="AA203" s="80" t="str">
        <f>AA202</f>
        <v>9-25-1</v>
      </c>
      <c r="AB203" s="317" t="str">
        <f>N203&amp;" - "&amp;O203</f>
        <v>نعم - يتم الانتقال إلى السؤال التالي</v>
      </c>
      <c r="AC203" s="317" t="str">
        <f t="shared" si="32"/>
        <v>9-25-1-نعم - يتم الانتقال إلى السؤال التالي</v>
      </c>
      <c r="AD203" s="319" t="str">
        <f t="shared" si="31"/>
        <v/>
      </c>
      <c r="AE203" s="320" t="s">
        <v>374</v>
      </c>
      <c r="AF203" s="320">
        <v>1</v>
      </c>
      <c r="AG203" s="321"/>
      <c r="AJ203" s="130"/>
    </row>
    <row r="204" spans="1:36" ht="23.25" x14ac:dyDescent="0.5">
      <c r="A204" s="574"/>
      <c r="B204" s="577"/>
      <c r="C204" s="580"/>
      <c r="D204" s="583"/>
      <c r="E204" s="586"/>
      <c r="F204" s="588"/>
      <c r="G204" s="143"/>
      <c r="H204" s="554"/>
      <c r="I204" s="194"/>
      <c r="J204" s="195"/>
      <c r="K204" s="561"/>
      <c r="L204" s="153"/>
      <c r="M204" s="36"/>
      <c r="N204" s="39"/>
      <c r="O204" s="39"/>
      <c r="P204" s="93"/>
      <c r="Q204" s="550"/>
      <c r="R204" s="552"/>
      <c r="S204" s="602"/>
      <c r="T204" s="569"/>
      <c r="U204" s="90"/>
      <c r="V204" s="90"/>
      <c r="AD204" s="319" t="str">
        <f t="shared" si="31"/>
        <v/>
      </c>
      <c r="AE204" s="320"/>
      <c r="AF204" s="320"/>
      <c r="AG204" s="321"/>
      <c r="AJ204" s="130"/>
    </row>
    <row r="205" spans="1:36" ht="23.25" x14ac:dyDescent="0.5">
      <c r="A205" s="574"/>
      <c r="B205" s="577"/>
      <c r="C205" s="580"/>
      <c r="D205" s="583"/>
      <c r="E205" s="586"/>
      <c r="F205" s="586"/>
      <c r="G205" s="539" t="s">
        <v>356</v>
      </c>
      <c r="H205" s="554"/>
      <c r="I205" s="543">
        <v>2</v>
      </c>
      <c r="J205" s="545" t="s">
        <v>357</v>
      </c>
      <c r="K205" s="547"/>
      <c r="L205" s="606" t="s">
        <v>158</v>
      </c>
      <c r="M205" s="608" t="s">
        <v>223</v>
      </c>
      <c r="N205" s="177" t="s">
        <v>125</v>
      </c>
      <c r="O205" s="177" t="s">
        <v>358</v>
      </c>
      <c r="P205" s="178" t="s">
        <v>2</v>
      </c>
      <c r="Q205" s="550"/>
      <c r="R205" s="552"/>
      <c r="S205" s="601"/>
      <c r="T205" s="569"/>
      <c r="U205" s="90"/>
      <c r="V205" s="90"/>
      <c r="AA205" s="80" t="s">
        <v>439</v>
      </c>
      <c r="AB205" s="317" t="str">
        <f>N205&amp;" - "&amp;O205</f>
        <v>لا  - لا توجد قرارات بتكوين هذه اللجان .</v>
      </c>
      <c r="AC205" s="317" t="str">
        <f t="shared" si="32"/>
        <v>9-25-2-لا  - لا توجد قرارات بتكوين هذه اللجان .</v>
      </c>
      <c r="AD205" s="319">
        <f t="shared" si="31"/>
        <v>0</v>
      </c>
      <c r="AE205" s="320">
        <f t="shared" ref="AE205:AE207" si="34">IF(AD205="","",AD205*$R$202)</f>
        <v>0</v>
      </c>
      <c r="AF205" s="320">
        <v>1</v>
      </c>
      <c r="AG205" s="321"/>
      <c r="AJ205" s="130"/>
    </row>
    <row r="206" spans="1:36" ht="23.25" x14ac:dyDescent="0.5">
      <c r="A206" s="574"/>
      <c r="B206" s="577"/>
      <c r="C206" s="580"/>
      <c r="D206" s="583"/>
      <c r="E206" s="586"/>
      <c r="F206" s="586"/>
      <c r="G206" s="539"/>
      <c r="H206" s="554"/>
      <c r="I206" s="543"/>
      <c r="J206" s="545"/>
      <c r="K206" s="547"/>
      <c r="L206" s="607"/>
      <c r="M206" s="545"/>
      <c r="N206" s="564" t="s">
        <v>3</v>
      </c>
      <c r="O206" s="184" t="s">
        <v>19</v>
      </c>
      <c r="P206" s="142">
        <v>0.5</v>
      </c>
      <c r="Q206" s="550"/>
      <c r="R206" s="552"/>
      <c r="S206" s="601"/>
      <c r="T206" s="569"/>
      <c r="U206" s="90"/>
      <c r="V206" s="90"/>
      <c r="AA206" s="80" t="str">
        <f>AA205</f>
        <v>9-25-2</v>
      </c>
      <c r="AB206" s="317" t="str">
        <f>N206&amp;" - "&amp;O206</f>
        <v>نعم - توجد قرارات لكن بشكل جزئي</v>
      </c>
      <c r="AC206" s="317" t="str">
        <f t="shared" si="32"/>
        <v>9-25-2-نعم - توجد قرارات لكن بشكل جزئي</v>
      </c>
      <c r="AD206" s="319">
        <f t="shared" si="31"/>
        <v>0.5</v>
      </c>
      <c r="AE206" s="320">
        <f t="shared" si="34"/>
        <v>1</v>
      </c>
      <c r="AF206" s="320">
        <v>1</v>
      </c>
      <c r="AG206" s="321"/>
      <c r="AJ206" s="130"/>
    </row>
    <row r="207" spans="1:36" ht="23.25" x14ac:dyDescent="0.5">
      <c r="A207" s="574"/>
      <c r="B207" s="577"/>
      <c r="C207" s="580"/>
      <c r="D207" s="583"/>
      <c r="E207" s="586"/>
      <c r="F207" s="586"/>
      <c r="G207" s="539"/>
      <c r="H207" s="555"/>
      <c r="I207" s="543"/>
      <c r="J207" s="545"/>
      <c r="K207" s="547"/>
      <c r="L207" s="607"/>
      <c r="M207" s="545"/>
      <c r="N207" s="564"/>
      <c r="O207" s="120" t="s">
        <v>20</v>
      </c>
      <c r="P207" s="142">
        <v>1</v>
      </c>
      <c r="Q207" s="550"/>
      <c r="R207" s="552"/>
      <c r="S207" s="601"/>
      <c r="T207" s="569"/>
      <c r="U207" s="90"/>
      <c r="V207" s="90"/>
      <c r="AA207" s="80" t="str">
        <f>AA206</f>
        <v>9-25-2</v>
      </c>
      <c r="AB207" s="317" t="str">
        <f>N206&amp;" - "&amp;O207</f>
        <v>نعم - توجد قرارات بشكل متكامل.</v>
      </c>
      <c r="AC207" s="317" t="str">
        <f t="shared" si="32"/>
        <v>9-25-2-نعم - توجد قرارات بشكل متكامل.</v>
      </c>
      <c r="AD207" s="319">
        <f t="shared" si="31"/>
        <v>1</v>
      </c>
      <c r="AE207" s="320">
        <f t="shared" si="34"/>
        <v>2</v>
      </c>
      <c r="AF207" s="320">
        <v>1</v>
      </c>
      <c r="AG207" s="321"/>
      <c r="AJ207" s="130"/>
    </row>
    <row r="208" spans="1:36" ht="23.25" x14ac:dyDescent="0.5">
      <c r="A208" s="574"/>
      <c r="B208" s="577"/>
      <c r="C208" s="580"/>
      <c r="D208" s="583"/>
      <c r="E208" s="586"/>
      <c r="F208" s="586"/>
      <c r="G208" s="196"/>
      <c r="H208" s="97"/>
      <c r="I208" s="92"/>
      <c r="J208" s="36"/>
      <c r="K208" s="155"/>
      <c r="L208" s="36"/>
      <c r="M208" s="36"/>
      <c r="N208" s="39"/>
      <c r="O208" s="39"/>
      <c r="P208" s="156"/>
      <c r="Q208" s="155"/>
      <c r="R208" s="157"/>
      <c r="S208" s="601"/>
      <c r="T208" s="569"/>
      <c r="U208" s="90"/>
      <c r="V208" s="90"/>
      <c r="AD208" s="319" t="str">
        <f t="shared" si="31"/>
        <v/>
      </c>
      <c r="AE208" s="320"/>
      <c r="AF208" s="320"/>
      <c r="AG208" s="321"/>
      <c r="AJ208" s="130"/>
    </row>
    <row r="209" spans="1:36" ht="23.25" x14ac:dyDescent="0.5">
      <c r="A209" s="574"/>
      <c r="B209" s="577"/>
      <c r="C209" s="580"/>
      <c r="D209" s="583"/>
      <c r="E209" s="586"/>
      <c r="F209" s="586"/>
      <c r="G209" s="539" t="s">
        <v>359</v>
      </c>
      <c r="H209" s="541">
        <v>2</v>
      </c>
      <c r="I209" s="543">
        <v>3</v>
      </c>
      <c r="J209" s="545" t="s">
        <v>360</v>
      </c>
      <c r="K209" s="547">
        <v>2</v>
      </c>
      <c r="L209" s="545" t="s">
        <v>158</v>
      </c>
      <c r="M209" s="545" t="s">
        <v>361</v>
      </c>
      <c r="N209" s="120" t="s">
        <v>125</v>
      </c>
      <c r="O209" s="120" t="s">
        <v>362</v>
      </c>
      <c r="P209" s="121" t="s">
        <v>2</v>
      </c>
      <c r="Q209" s="550">
        <v>100</v>
      </c>
      <c r="R209" s="552">
        <f>Q209*K209*0.01</f>
        <v>2</v>
      </c>
      <c r="S209" s="601"/>
      <c r="T209" s="569"/>
      <c r="U209" s="90"/>
      <c r="V209" s="90"/>
      <c r="AA209" s="80" t="s">
        <v>440</v>
      </c>
      <c r="AB209" s="317" t="str">
        <f>N209&amp;" - "&amp;O209</f>
        <v>لا  - لم تشتمل على ذلك .</v>
      </c>
      <c r="AC209" s="317" t="str">
        <f t="shared" si="32"/>
        <v>9-25-3-لا  - لم تشتمل على ذلك .</v>
      </c>
      <c r="AD209" s="319">
        <f t="shared" si="31"/>
        <v>0</v>
      </c>
      <c r="AE209" s="320">
        <f>IF(AD209="","",AD209*$R$209)</f>
        <v>0</v>
      </c>
      <c r="AF209" s="320">
        <v>1</v>
      </c>
      <c r="AG209" s="321"/>
      <c r="AJ209" s="130"/>
    </row>
    <row r="210" spans="1:36" ht="24" thickBot="1" x14ac:dyDescent="0.55000000000000004">
      <c r="A210" s="575"/>
      <c r="B210" s="578"/>
      <c r="C210" s="581"/>
      <c r="D210" s="584"/>
      <c r="E210" s="587"/>
      <c r="F210" s="587"/>
      <c r="G210" s="540"/>
      <c r="H210" s="542"/>
      <c r="I210" s="544"/>
      <c r="J210" s="546"/>
      <c r="K210" s="548"/>
      <c r="L210" s="546"/>
      <c r="M210" s="546"/>
      <c r="N210" s="158" t="s">
        <v>3</v>
      </c>
      <c r="O210" s="197" t="s">
        <v>363</v>
      </c>
      <c r="P210" s="159">
        <v>1</v>
      </c>
      <c r="Q210" s="562"/>
      <c r="R210" s="563"/>
      <c r="S210" s="603"/>
      <c r="T210" s="570"/>
      <c r="U210" s="90"/>
      <c r="V210" s="90"/>
      <c r="AA210" s="80" t="str">
        <f>AA209</f>
        <v>9-25-3</v>
      </c>
      <c r="AB210" s="317" t="str">
        <f>N210&amp;" - "&amp;O210</f>
        <v>نعم - اشتملت على ذلك .</v>
      </c>
      <c r="AC210" s="317" t="str">
        <f t="shared" si="32"/>
        <v>9-25-3-نعم - اشتملت على ذلك .</v>
      </c>
      <c r="AD210" s="319">
        <f t="shared" si="31"/>
        <v>1</v>
      </c>
      <c r="AE210" s="320">
        <f>IF(AD210="","",AD210*$R$209)</f>
        <v>2</v>
      </c>
      <c r="AF210" s="320">
        <v>1</v>
      </c>
      <c r="AG210" s="321"/>
      <c r="AJ210" s="130"/>
    </row>
    <row r="211" spans="1:36" x14ac:dyDescent="0.85">
      <c r="D211" s="198">
        <f>SUM(D3:D210)</f>
        <v>0.99999999999999989</v>
      </c>
      <c r="F211" s="91">
        <f t="shared" ref="F211" si="35">SUM(F3:F210)</f>
        <v>100</v>
      </c>
      <c r="S211" s="201">
        <f t="shared" ref="S211" si="36">SUM(S3:S210)</f>
        <v>100</v>
      </c>
      <c r="T211" s="201">
        <f>SUM(T3:T210)</f>
        <v>100</v>
      </c>
      <c r="U211" s="202"/>
      <c r="V211" s="202"/>
    </row>
    <row r="222" spans="1:36" ht="105.75" thickBot="1" x14ac:dyDescent="2.25">
      <c r="B222" s="891" t="s">
        <v>444</v>
      </c>
      <c r="C222" s="891"/>
      <c r="D222" s="891"/>
      <c r="E222" s="891"/>
      <c r="F222" s="891"/>
      <c r="G222" s="891"/>
      <c r="H222" s="891"/>
      <c r="I222" s="891"/>
      <c r="J222" s="891"/>
      <c r="K222" s="891"/>
      <c r="L222" s="891"/>
      <c r="M222" s="891"/>
      <c r="N222" s="891"/>
      <c r="O222" s="891"/>
      <c r="P222" s="891"/>
      <c r="Q222" s="891"/>
      <c r="R222" s="891"/>
      <c r="S222" s="891"/>
      <c r="T222" s="891"/>
    </row>
    <row r="223" spans="1:36" ht="111" thickBot="1" x14ac:dyDescent="0.55000000000000004">
      <c r="A223" s="58" t="s">
        <v>372</v>
      </c>
      <c r="B223" s="361" t="s">
        <v>116</v>
      </c>
      <c r="C223" s="59" t="s">
        <v>40</v>
      </c>
      <c r="D223" s="59" t="s">
        <v>443</v>
      </c>
      <c r="E223" s="59" t="s">
        <v>11</v>
      </c>
      <c r="F223" s="59"/>
      <c r="G223" s="59" t="s">
        <v>41</v>
      </c>
      <c r="H223" s="59" t="s">
        <v>5</v>
      </c>
      <c r="I223" s="59" t="s">
        <v>28</v>
      </c>
      <c r="J223" s="59" t="s">
        <v>4</v>
      </c>
      <c r="K223" s="59" t="s">
        <v>5</v>
      </c>
      <c r="L223" s="59" t="s">
        <v>6</v>
      </c>
      <c r="M223" s="59" t="s">
        <v>7</v>
      </c>
      <c r="N223" s="59" t="s">
        <v>8</v>
      </c>
      <c r="O223" s="59" t="s">
        <v>367</v>
      </c>
      <c r="P223" s="59" t="s">
        <v>9</v>
      </c>
      <c r="Q223" s="203" t="s">
        <v>39</v>
      </c>
      <c r="R223" s="60" t="s">
        <v>29</v>
      </c>
      <c r="S223" s="60" t="s">
        <v>30</v>
      </c>
      <c r="T223" s="61" t="s">
        <v>31</v>
      </c>
    </row>
    <row r="224" spans="1:36" ht="23.25" x14ac:dyDescent="0.5">
      <c r="A224" s="893" t="s">
        <v>446</v>
      </c>
      <c r="B224" s="774">
        <v>1</v>
      </c>
      <c r="C224" s="777" t="s">
        <v>42</v>
      </c>
      <c r="D224" s="802">
        <v>0.35</v>
      </c>
      <c r="E224" s="780">
        <v>1</v>
      </c>
      <c r="F224" s="783">
        <f>SUM(H224)</f>
        <v>35</v>
      </c>
      <c r="G224" s="783" t="s">
        <v>45</v>
      </c>
      <c r="H224" s="783">
        <f>SUM(K224:K246)</f>
        <v>35</v>
      </c>
      <c r="I224" s="787">
        <v>1</v>
      </c>
      <c r="J224" s="789" t="s">
        <v>46</v>
      </c>
      <c r="K224" s="791">
        <v>7</v>
      </c>
      <c r="L224" s="793" t="s">
        <v>0</v>
      </c>
      <c r="M224" s="795" t="s">
        <v>51</v>
      </c>
      <c r="N224" s="16" t="s">
        <v>1</v>
      </c>
      <c r="O224" s="17" t="s">
        <v>47</v>
      </c>
      <c r="P224" s="16" t="s">
        <v>2</v>
      </c>
      <c r="Q224" s="805">
        <v>100</v>
      </c>
      <c r="R224" s="807">
        <f>Q224*K224*0.01</f>
        <v>7</v>
      </c>
      <c r="S224" s="809">
        <f>SUM(R224:R246)</f>
        <v>35</v>
      </c>
      <c r="T224" s="813">
        <f>SUM(S224:S246)</f>
        <v>35</v>
      </c>
      <c r="V224" s="130">
        <v>0</v>
      </c>
      <c r="W224" s="130">
        <v>0</v>
      </c>
      <c r="AA224" s="80" t="str">
        <f>$B$224&amp;"-"&amp;$E$224&amp;"-"&amp;I224</f>
        <v>1-1-1</v>
      </c>
      <c r="AB224" s="317" t="str">
        <f>N224&amp;" - "&amp;O224</f>
        <v>لا - لم يتم النشر .</v>
      </c>
      <c r="AC224" s="317" t="str">
        <f t="shared" ref="AC224" si="37">AA224&amp;"-"&amp;AB224</f>
        <v>1-1-1-لا - لم يتم النشر .</v>
      </c>
      <c r="AD224" s="319">
        <f t="shared" ref="AD224" si="38">IF(AB224="","",IF(AND(LEN(AB224)=36,RIGHT(AB224,6)="التالي"),"",IF(P224="صفر",0,P224)))</f>
        <v>0</v>
      </c>
      <c r="AE224" s="320">
        <f>IF(AD224="","",AD224*$R$224)</f>
        <v>0</v>
      </c>
    </row>
    <row r="225" spans="1:31" ht="23.25" x14ac:dyDescent="0.5">
      <c r="A225" s="894"/>
      <c r="B225" s="775"/>
      <c r="C225" s="778"/>
      <c r="D225" s="803"/>
      <c r="E225" s="781"/>
      <c r="F225" s="784"/>
      <c r="G225" s="784"/>
      <c r="H225" s="784"/>
      <c r="I225" s="788"/>
      <c r="J225" s="790"/>
      <c r="K225" s="792"/>
      <c r="L225" s="794"/>
      <c r="M225" s="796"/>
      <c r="N225" s="57" t="s">
        <v>3</v>
      </c>
      <c r="O225" s="56" t="s">
        <v>48</v>
      </c>
      <c r="P225" s="204">
        <v>1</v>
      </c>
      <c r="Q225" s="806"/>
      <c r="R225" s="808"/>
      <c r="S225" s="810"/>
      <c r="T225" s="814"/>
      <c r="V225" s="130">
        <v>100</v>
      </c>
      <c r="W225" s="130">
        <v>50</v>
      </c>
      <c r="AA225" s="80" t="str">
        <f>AA224</f>
        <v>1-1-1</v>
      </c>
      <c r="AB225" s="317" t="str">
        <f t="shared" ref="AB225:AB279" si="39">N225&amp;" - "&amp;O225</f>
        <v>نعم - تم  النشر .</v>
      </c>
      <c r="AC225" s="317" t="str">
        <f t="shared" ref="AC225:AC280" si="40">AA225&amp;"-"&amp;AB225</f>
        <v>1-1-1-نعم - تم  النشر .</v>
      </c>
      <c r="AD225" s="319">
        <f t="shared" ref="AD225:AD280" si="41">IF(AB225="","",IF(AND(LEN(AB225)=36,RIGHT(AB225,6)="التالي"),"",IF(P225="صفر",0,P225)))</f>
        <v>1</v>
      </c>
      <c r="AE225" s="320">
        <f>IF(AD225="","",AD225*$R$224)</f>
        <v>7</v>
      </c>
    </row>
    <row r="226" spans="1:31" ht="30.75" x14ac:dyDescent="0.5">
      <c r="A226" s="894"/>
      <c r="B226" s="775"/>
      <c r="C226" s="778"/>
      <c r="D226" s="803"/>
      <c r="E226" s="781"/>
      <c r="F226" s="785"/>
      <c r="G226" s="785"/>
      <c r="H226" s="785"/>
      <c r="I226" s="69"/>
      <c r="J226" s="70"/>
      <c r="K226" s="71"/>
      <c r="L226" s="15"/>
      <c r="M226" s="14"/>
      <c r="N226" s="15"/>
      <c r="O226" s="14"/>
      <c r="P226" s="15"/>
      <c r="Q226" s="205"/>
      <c r="R226" s="206"/>
      <c r="S226" s="811"/>
      <c r="T226" s="814"/>
      <c r="V226" s="130"/>
      <c r="W226" s="130">
        <v>100</v>
      </c>
      <c r="AD226" s="319"/>
      <c r="AE226" s="320"/>
    </row>
    <row r="227" spans="1:31" ht="23.25" x14ac:dyDescent="0.5">
      <c r="A227" s="894"/>
      <c r="B227" s="775"/>
      <c r="C227" s="778"/>
      <c r="D227" s="803"/>
      <c r="E227" s="781"/>
      <c r="F227" s="784">
        <v>4</v>
      </c>
      <c r="G227" s="784"/>
      <c r="H227" s="784">
        <v>4</v>
      </c>
      <c r="I227" s="787">
        <v>2</v>
      </c>
      <c r="J227" s="789" t="s">
        <v>49</v>
      </c>
      <c r="K227" s="791">
        <v>4</v>
      </c>
      <c r="L227" s="793" t="s">
        <v>0</v>
      </c>
      <c r="M227" s="795" t="s">
        <v>52</v>
      </c>
      <c r="N227" s="16" t="s">
        <v>1</v>
      </c>
      <c r="O227" s="17" t="s">
        <v>47</v>
      </c>
      <c r="P227" s="16" t="s">
        <v>2</v>
      </c>
      <c r="Q227" s="805">
        <v>100</v>
      </c>
      <c r="R227" s="807">
        <f>Q227*K227*0.01</f>
        <v>4</v>
      </c>
      <c r="S227" s="810"/>
      <c r="T227" s="814"/>
      <c r="AA227" s="80" t="str">
        <f t="shared" ref="AA227:AA245" si="42">$B$224&amp;"-"&amp;$E$224&amp;"-"&amp;I227</f>
        <v>1-1-2</v>
      </c>
      <c r="AB227" s="317" t="str">
        <f t="shared" si="39"/>
        <v>لا - لم يتم النشر .</v>
      </c>
      <c r="AC227" s="317" t="str">
        <f t="shared" si="40"/>
        <v>1-1-2-لا - لم يتم النشر .</v>
      </c>
      <c r="AD227" s="319">
        <f t="shared" si="41"/>
        <v>0</v>
      </c>
      <c r="AE227" s="320">
        <f>IF(AD227="","",AD227*$R$227)</f>
        <v>0</v>
      </c>
    </row>
    <row r="228" spans="1:31" ht="23.25" x14ac:dyDescent="0.5">
      <c r="A228" s="894"/>
      <c r="B228" s="775"/>
      <c r="C228" s="778"/>
      <c r="D228" s="803"/>
      <c r="E228" s="781"/>
      <c r="F228" s="784"/>
      <c r="G228" s="784"/>
      <c r="H228" s="784"/>
      <c r="I228" s="797"/>
      <c r="J228" s="798"/>
      <c r="K228" s="799"/>
      <c r="L228" s="800"/>
      <c r="M228" s="801"/>
      <c r="N228" s="18" t="s">
        <v>3</v>
      </c>
      <c r="O228" s="19" t="s">
        <v>48</v>
      </c>
      <c r="P228" s="207">
        <v>1</v>
      </c>
      <c r="Q228" s="816"/>
      <c r="R228" s="817"/>
      <c r="S228" s="810"/>
      <c r="T228" s="814"/>
      <c r="AA228" s="80" t="str">
        <f>AA227</f>
        <v>1-1-2</v>
      </c>
      <c r="AB228" s="317" t="str">
        <f t="shared" si="39"/>
        <v>نعم - تم  النشر .</v>
      </c>
      <c r="AC228" s="317" t="str">
        <f t="shared" si="40"/>
        <v>1-1-2-نعم - تم  النشر .</v>
      </c>
      <c r="AD228" s="319">
        <f t="shared" si="41"/>
        <v>1</v>
      </c>
      <c r="AE228" s="320">
        <f t="shared" ref="AE228" si="43">IF(AD228="","",AD228*$R$227)</f>
        <v>4</v>
      </c>
    </row>
    <row r="229" spans="1:31" ht="30.75" x14ac:dyDescent="0.5">
      <c r="A229" s="894"/>
      <c r="B229" s="775"/>
      <c r="C229" s="778"/>
      <c r="D229" s="803"/>
      <c r="E229" s="781"/>
      <c r="F229" s="784"/>
      <c r="G229" s="784"/>
      <c r="H229" s="784"/>
      <c r="I229" s="69"/>
      <c r="J229" s="70"/>
      <c r="K229" s="71"/>
      <c r="L229" s="15"/>
      <c r="M229" s="14"/>
      <c r="N229" s="15"/>
      <c r="O229" s="14"/>
      <c r="P229" s="15"/>
      <c r="Q229" s="205"/>
      <c r="R229" s="206"/>
      <c r="S229" s="810"/>
      <c r="T229" s="814"/>
      <c r="AD229" s="319"/>
      <c r="AE229" s="320"/>
    </row>
    <row r="230" spans="1:31" ht="23.25" x14ac:dyDescent="0.5">
      <c r="A230" s="894"/>
      <c r="B230" s="775"/>
      <c r="C230" s="778"/>
      <c r="D230" s="803"/>
      <c r="E230" s="781"/>
      <c r="F230" s="784">
        <v>4</v>
      </c>
      <c r="G230" s="784"/>
      <c r="H230" s="784">
        <v>4</v>
      </c>
      <c r="I230" s="797">
        <v>3</v>
      </c>
      <c r="J230" s="798" t="s">
        <v>50</v>
      </c>
      <c r="K230" s="799">
        <v>4</v>
      </c>
      <c r="L230" s="800" t="s">
        <v>0</v>
      </c>
      <c r="M230" s="801" t="s">
        <v>53</v>
      </c>
      <c r="N230" s="18" t="s">
        <v>1</v>
      </c>
      <c r="O230" s="19" t="s">
        <v>47</v>
      </c>
      <c r="P230" s="18" t="s">
        <v>2</v>
      </c>
      <c r="Q230" s="818">
        <v>100</v>
      </c>
      <c r="R230" s="817">
        <f>Q230*K230*0.01</f>
        <v>4</v>
      </c>
      <c r="S230" s="810"/>
      <c r="T230" s="814"/>
      <c r="AA230" s="80" t="str">
        <f t="shared" si="42"/>
        <v>1-1-3</v>
      </c>
      <c r="AB230" s="317" t="str">
        <f t="shared" si="39"/>
        <v>لا - لم يتم النشر .</v>
      </c>
      <c r="AC230" s="317" t="str">
        <f t="shared" si="40"/>
        <v>1-1-3-لا - لم يتم النشر .</v>
      </c>
      <c r="AD230" s="319">
        <f>IF(AB230="","",IF(AND(LEN(AB230)=36,RIGHT(AB230,6)="التالي"),"",IF(P230="صفر",0,P230)))</f>
        <v>0</v>
      </c>
      <c r="AE230" s="320">
        <f>IF(AD230="","",AD230*$R$230)</f>
        <v>0</v>
      </c>
    </row>
    <row r="231" spans="1:31" ht="23.25" x14ac:dyDescent="0.5">
      <c r="A231" s="894"/>
      <c r="B231" s="775"/>
      <c r="C231" s="778"/>
      <c r="D231" s="803"/>
      <c r="E231" s="781"/>
      <c r="F231" s="784"/>
      <c r="G231" s="784"/>
      <c r="H231" s="784"/>
      <c r="I231" s="797"/>
      <c r="J231" s="798"/>
      <c r="K231" s="799"/>
      <c r="L231" s="800"/>
      <c r="M231" s="801"/>
      <c r="N231" s="18" t="s">
        <v>3</v>
      </c>
      <c r="O231" s="19" t="s">
        <v>48</v>
      </c>
      <c r="P231" s="207">
        <v>1</v>
      </c>
      <c r="Q231" s="816"/>
      <c r="R231" s="817"/>
      <c r="S231" s="810"/>
      <c r="T231" s="814"/>
      <c r="AA231" s="80" t="str">
        <f>AA230</f>
        <v>1-1-3</v>
      </c>
      <c r="AB231" s="317" t="str">
        <f t="shared" si="39"/>
        <v>نعم - تم  النشر .</v>
      </c>
      <c r="AC231" s="317" t="str">
        <f t="shared" si="40"/>
        <v>1-1-3-نعم - تم  النشر .</v>
      </c>
      <c r="AD231" s="319">
        <f t="shared" si="41"/>
        <v>1</v>
      </c>
      <c r="AE231" s="320">
        <f t="shared" ref="AE231" si="44">IF(AD231="","",AD231*$R$230)</f>
        <v>4</v>
      </c>
    </row>
    <row r="232" spans="1:31" ht="30.75" x14ac:dyDescent="0.5">
      <c r="A232" s="894"/>
      <c r="B232" s="775"/>
      <c r="C232" s="778"/>
      <c r="D232" s="803"/>
      <c r="E232" s="781"/>
      <c r="F232" s="784"/>
      <c r="G232" s="784"/>
      <c r="H232" s="784"/>
      <c r="I232" s="69"/>
      <c r="J232" s="70"/>
      <c r="K232" s="71"/>
      <c r="L232" s="15"/>
      <c r="M232" s="14"/>
      <c r="N232" s="15"/>
      <c r="O232" s="14"/>
      <c r="P232" s="15"/>
      <c r="Q232" s="205"/>
      <c r="R232" s="206"/>
      <c r="S232" s="810"/>
      <c r="T232" s="814"/>
      <c r="AD232" s="319"/>
      <c r="AE232" s="320"/>
    </row>
    <row r="233" spans="1:31" ht="23.25" x14ac:dyDescent="0.5">
      <c r="A233" s="894"/>
      <c r="B233" s="775"/>
      <c r="C233" s="778"/>
      <c r="D233" s="803"/>
      <c r="E233" s="781"/>
      <c r="F233" s="784">
        <v>4</v>
      </c>
      <c r="G233" s="784"/>
      <c r="H233" s="784">
        <v>4</v>
      </c>
      <c r="I233" s="797">
        <v>4</v>
      </c>
      <c r="J233" s="798" t="s">
        <v>54</v>
      </c>
      <c r="K233" s="799">
        <v>4</v>
      </c>
      <c r="L233" s="800" t="s">
        <v>13</v>
      </c>
      <c r="M233" s="801" t="s">
        <v>55</v>
      </c>
      <c r="N233" s="18" t="s">
        <v>1</v>
      </c>
      <c r="O233" s="19" t="s">
        <v>47</v>
      </c>
      <c r="P233" s="18" t="s">
        <v>2</v>
      </c>
      <c r="Q233" s="818">
        <v>100</v>
      </c>
      <c r="R233" s="817">
        <f>Q233*K233*0.01</f>
        <v>4</v>
      </c>
      <c r="S233" s="810"/>
      <c r="T233" s="814"/>
      <c r="AA233" s="80" t="str">
        <f t="shared" si="42"/>
        <v>1-1-4</v>
      </c>
      <c r="AB233" s="317" t="str">
        <f t="shared" si="39"/>
        <v>لا - لم يتم النشر .</v>
      </c>
      <c r="AC233" s="317" t="str">
        <f t="shared" si="40"/>
        <v>1-1-4-لا - لم يتم النشر .</v>
      </c>
      <c r="AD233" s="319">
        <f t="shared" si="41"/>
        <v>0</v>
      </c>
      <c r="AE233" s="320">
        <f>IF(AD233="","",AD233*$R$233)</f>
        <v>0</v>
      </c>
    </row>
    <row r="234" spans="1:31" ht="23.25" x14ac:dyDescent="0.5">
      <c r="A234" s="894"/>
      <c r="B234" s="775"/>
      <c r="C234" s="778"/>
      <c r="D234" s="803"/>
      <c r="E234" s="781"/>
      <c r="F234" s="784"/>
      <c r="G234" s="784"/>
      <c r="H234" s="784"/>
      <c r="I234" s="797"/>
      <c r="J234" s="798"/>
      <c r="K234" s="799"/>
      <c r="L234" s="800"/>
      <c r="M234" s="801"/>
      <c r="N234" s="18" t="s">
        <v>3</v>
      </c>
      <c r="O234" s="19" t="s">
        <v>48</v>
      </c>
      <c r="P234" s="207">
        <v>1</v>
      </c>
      <c r="Q234" s="816"/>
      <c r="R234" s="817"/>
      <c r="S234" s="810"/>
      <c r="T234" s="814"/>
      <c r="AA234" s="80" t="str">
        <f>AA233</f>
        <v>1-1-4</v>
      </c>
      <c r="AB234" s="317" t="str">
        <f t="shared" si="39"/>
        <v>نعم - تم  النشر .</v>
      </c>
      <c r="AC234" s="317" t="str">
        <f t="shared" si="40"/>
        <v>1-1-4-نعم - تم  النشر .</v>
      </c>
      <c r="AD234" s="319">
        <f t="shared" si="41"/>
        <v>1</v>
      </c>
      <c r="AE234" s="320">
        <f t="shared" ref="AE234" si="45">IF(AD234="","",AD234*$R$233)</f>
        <v>4</v>
      </c>
    </row>
    <row r="235" spans="1:31" ht="30.75" x14ac:dyDescent="0.5">
      <c r="A235" s="894"/>
      <c r="B235" s="775"/>
      <c r="C235" s="778"/>
      <c r="D235" s="803"/>
      <c r="E235" s="781"/>
      <c r="F235" s="784"/>
      <c r="G235" s="784"/>
      <c r="H235" s="784"/>
      <c r="I235" s="69"/>
      <c r="J235" s="70"/>
      <c r="K235" s="71"/>
      <c r="L235" s="15"/>
      <c r="M235" s="14"/>
      <c r="N235" s="15"/>
      <c r="O235" s="14"/>
      <c r="P235" s="15"/>
      <c r="Q235" s="205"/>
      <c r="R235" s="206"/>
      <c r="S235" s="810"/>
      <c r="T235" s="814"/>
      <c r="AD235" s="319"/>
      <c r="AE235" s="320"/>
    </row>
    <row r="236" spans="1:31" ht="23.25" x14ac:dyDescent="0.5">
      <c r="A236" s="894"/>
      <c r="B236" s="775"/>
      <c r="C236" s="778"/>
      <c r="D236" s="803"/>
      <c r="E236" s="781"/>
      <c r="F236" s="784">
        <v>4</v>
      </c>
      <c r="G236" s="784"/>
      <c r="H236" s="784">
        <v>4</v>
      </c>
      <c r="I236" s="797">
        <v>5</v>
      </c>
      <c r="J236" s="798" t="s">
        <v>56</v>
      </c>
      <c r="K236" s="799">
        <v>4</v>
      </c>
      <c r="L236" s="800" t="s">
        <v>13</v>
      </c>
      <c r="M236" s="801" t="s">
        <v>57</v>
      </c>
      <c r="N236" s="18" t="s">
        <v>1</v>
      </c>
      <c r="O236" s="19" t="s">
        <v>47</v>
      </c>
      <c r="P236" s="18" t="s">
        <v>2</v>
      </c>
      <c r="Q236" s="818">
        <v>100</v>
      </c>
      <c r="R236" s="817">
        <f>Q236*K236*0.01</f>
        <v>4</v>
      </c>
      <c r="S236" s="810"/>
      <c r="T236" s="814"/>
      <c r="AA236" s="80" t="str">
        <f t="shared" si="42"/>
        <v>1-1-5</v>
      </c>
      <c r="AB236" s="317" t="str">
        <f t="shared" si="39"/>
        <v>لا - لم يتم النشر .</v>
      </c>
      <c r="AC236" s="317" t="str">
        <f t="shared" si="40"/>
        <v>1-1-5-لا - لم يتم النشر .</v>
      </c>
      <c r="AD236" s="319">
        <f t="shared" si="41"/>
        <v>0</v>
      </c>
      <c r="AE236" s="320">
        <f>IF(AD236="","",AD236*$R$236)</f>
        <v>0</v>
      </c>
    </row>
    <row r="237" spans="1:31" ht="23.25" x14ac:dyDescent="0.5">
      <c r="A237" s="894"/>
      <c r="B237" s="775"/>
      <c r="C237" s="778"/>
      <c r="D237" s="803"/>
      <c r="E237" s="781"/>
      <c r="F237" s="784"/>
      <c r="G237" s="784"/>
      <c r="H237" s="784"/>
      <c r="I237" s="797"/>
      <c r="J237" s="798"/>
      <c r="K237" s="799"/>
      <c r="L237" s="800"/>
      <c r="M237" s="801"/>
      <c r="N237" s="18" t="s">
        <v>3</v>
      </c>
      <c r="O237" s="19" t="s">
        <v>48</v>
      </c>
      <c r="P237" s="207">
        <v>1</v>
      </c>
      <c r="Q237" s="816"/>
      <c r="R237" s="817"/>
      <c r="S237" s="810"/>
      <c r="T237" s="814"/>
      <c r="AA237" s="80" t="str">
        <f>AA236</f>
        <v>1-1-5</v>
      </c>
      <c r="AB237" s="317" t="str">
        <f t="shared" si="39"/>
        <v>نعم - تم  النشر .</v>
      </c>
      <c r="AC237" s="317" t="str">
        <f t="shared" si="40"/>
        <v>1-1-5-نعم - تم  النشر .</v>
      </c>
      <c r="AD237" s="319">
        <f t="shared" si="41"/>
        <v>1</v>
      </c>
      <c r="AE237" s="320">
        <f t="shared" ref="AE237" si="46">IF(AD237="","",AD237*$R$236)</f>
        <v>4</v>
      </c>
    </row>
    <row r="238" spans="1:31" ht="30.75" x14ac:dyDescent="0.5">
      <c r="A238" s="894"/>
      <c r="B238" s="775"/>
      <c r="C238" s="778"/>
      <c r="D238" s="803"/>
      <c r="E238" s="781"/>
      <c r="F238" s="784"/>
      <c r="G238" s="784"/>
      <c r="H238" s="784"/>
      <c r="I238" s="69"/>
      <c r="J238" s="70"/>
      <c r="K238" s="71"/>
      <c r="L238" s="15"/>
      <c r="M238" s="14"/>
      <c r="N238" s="15"/>
      <c r="O238" s="14"/>
      <c r="P238" s="15"/>
      <c r="Q238" s="205"/>
      <c r="R238" s="206"/>
      <c r="S238" s="810"/>
      <c r="T238" s="814"/>
      <c r="AD238" s="319"/>
      <c r="AE238" s="320"/>
    </row>
    <row r="239" spans="1:31" ht="23.25" x14ac:dyDescent="0.5">
      <c r="A239" s="894"/>
      <c r="B239" s="775"/>
      <c r="C239" s="778"/>
      <c r="D239" s="803"/>
      <c r="E239" s="781"/>
      <c r="F239" s="784">
        <v>4</v>
      </c>
      <c r="G239" s="784"/>
      <c r="H239" s="784">
        <v>4</v>
      </c>
      <c r="I239" s="797">
        <v>6</v>
      </c>
      <c r="J239" s="798" t="s">
        <v>58</v>
      </c>
      <c r="K239" s="799">
        <v>4</v>
      </c>
      <c r="L239" s="800" t="s">
        <v>0</v>
      </c>
      <c r="M239" s="801" t="s">
        <v>59</v>
      </c>
      <c r="N239" s="18" t="s">
        <v>1</v>
      </c>
      <c r="O239" s="19" t="s">
        <v>47</v>
      </c>
      <c r="P239" s="18" t="s">
        <v>2</v>
      </c>
      <c r="Q239" s="818">
        <v>100</v>
      </c>
      <c r="R239" s="817">
        <f>Q239*K239*0.01</f>
        <v>4</v>
      </c>
      <c r="S239" s="810"/>
      <c r="T239" s="814"/>
      <c r="AA239" s="80" t="str">
        <f t="shared" si="42"/>
        <v>1-1-6</v>
      </c>
      <c r="AB239" s="317" t="str">
        <f t="shared" si="39"/>
        <v>لا - لم يتم النشر .</v>
      </c>
      <c r="AC239" s="317" t="str">
        <f t="shared" si="40"/>
        <v>1-1-6-لا - لم يتم النشر .</v>
      </c>
      <c r="AD239" s="319">
        <f t="shared" si="41"/>
        <v>0</v>
      </c>
      <c r="AE239" s="320">
        <f>IF(AD239="","",AD239*$R$239)</f>
        <v>0</v>
      </c>
    </row>
    <row r="240" spans="1:31" ht="23.25" x14ac:dyDescent="0.5">
      <c r="A240" s="894"/>
      <c r="B240" s="775"/>
      <c r="C240" s="778"/>
      <c r="D240" s="803"/>
      <c r="E240" s="781"/>
      <c r="F240" s="784"/>
      <c r="G240" s="784"/>
      <c r="H240" s="784"/>
      <c r="I240" s="797"/>
      <c r="J240" s="798"/>
      <c r="K240" s="799"/>
      <c r="L240" s="800"/>
      <c r="M240" s="801"/>
      <c r="N240" s="18" t="s">
        <v>3</v>
      </c>
      <c r="O240" s="19" t="s">
        <v>48</v>
      </c>
      <c r="P240" s="207">
        <v>1</v>
      </c>
      <c r="Q240" s="816"/>
      <c r="R240" s="817"/>
      <c r="S240" s="810"/>
      <c r="T240" s="814"/>
      <c r="AA240" s="80" t="str">
        <f>AA239</f>
        <v>1-1-6</v>
      </c>
      <c r="AB240" s="317" t="str">
        <f t="shared" si="39"/>
        <v>نعم - تم  النشر .</v>
      </c>
      <c r="AC240" s="317" t="str">
        <f t="shared" si="40"/>
        <v>1-1-6-نعم - تم  النشر .</v>
      </c>
      <c r="AD240" s="319">
        <f t="shared" si="41"/>
        <v>1</v>
      </c>
      <c r="AE240" s="320">
        <f t="shared" ref="AE240" si="47">IF(AD240="","",AD240*$R$239)</f>
        <v>4</v>
      </c>
    </row>
    <row r="241" spans="1:31" ht="30.75" x14ac:dyDescent="0.5">
      <c r="A241" s="894"/>
      <c r="B241" s="775"/>
      <c r="C241" s="778"/>
      <c r="D241" s="803"/>
      <c r="E241" s="781"/>
      <c r="F241" s="784"/>
      <c r="G241" s="784"/>
      <c r="H241" s="784"/>
      <c r="I241" s="69"/>
      <c r="J241" s="70"/>
      <c r="K241" s="71"/>
      <c r="L241" s="15"/>
      <c r="M241" s="14"/>
      <c r="N241" s="15"/>
      <c r="O241" s="14"/>
      <c r="P241" s="15"/>
      <c r="Q241" s="205"/>
      <c r="R241" s="206"/>
      <c r="S241" s="810"/>
      <c r="T241" s="814"/>
      <c r="AD241" s="319"/>
      <c r="AE241" s="320"/>
    </row>
    <row r="242" spans="1:31" ht="23.25" x14ac:dyDescent="0.5">
      <c r="A242" s="894"/>
      <c r="B242" s="775"/>
      <c r="C242" s="778"/>
      <c r="D242" s="803"/>
      <c r="E242" s="781"/>
      <c r="F242" s="784">
        <v>4</v>
      </c>
      <c r="G242" s="784"/>
      <c r="H242" s="784">
        <v>4</v>
      </c>
      <c r="I242" s="797">
        <v>7</v>
      </c>
      <c r="J242" s="798" t="s">
        <v>60</v>
      </c>
      <c r="K242" s="799">
        <v>4</v>
      </c>
      <c r="L242" s="800" t="s">
        <v>0</v>
      </c>
      <c r="M242" s="801" t="s">
        <v>61</v>
      </c>
      <c r="N242" s="18" t="s">
        <v>1</v>
      </c>
      <c r="O242" s="19" t="s">
        <v>47</v>
      </c>
      <c r="P242" s="18" t="s">
        <v>2</v>
      </c>
      <c r="Q242" s="818">
        <v>100</v>
      </c>
      <c r="R242" s="817">
        <f>Q242*K242*0.01</f>
        <v>4</v>
      </c>
      <c r="S242" s="810"/>
      <c r="T242" s="814"/>
      <c r="AA242" s="80" t="str">
        <f t="shared" si="42"/>
        <v>1-1-7</v>
      </c>
      <c r="AB242" s="317" t="str">
        <f t="shared" si="39"/>
        <v>لا - لم يتم النشر .</v>
      </c>
      <c r="AC242" s="317" t="str">
        <f t="shared" si="40"/>
        <v>1-1-7-لا - لم يتم النشر .</v>
      </c>
      <c r="AD242" s="319">
        <f t="shared" si="41"/>
        <v>0</v>
      </c>
      <c r="AE242" s="320">
        <f>IF(AD242="","",AD242*$R$242)</f>
        <v>0</v>
      </c>
    </row>
    <row r="243" spans="1:31" ht="23.25" x14ac:dyDescent="0.5">
      <c r="A243" s="894"/>
      <c r="B243" s="775"/>
      <c r="C243" s="778"/>
      <c r="D243" s="803"/>
      <c r="E243" s="781"/>
      <c r="F243" s="784"/>
      <c r="G243" s="784"/>
      <c r="H243" s="784"/>
      <c r="I243" s="797"/>
      <c r="J243" s="798"/>
      <c r="K243" s="799"/>
      <c r="L243" s="800"/>
      <c r="M243" s="801"/>
      <c r="N243" s="18" t="s">
        <v>3</v>
      </c>
      <c r="O243" s="19" t="s">
        <v>48</v>
      </c>
      <c r="P243" s="207">
        <v>1</v>
      </c>
      <c r="Q243" s="816"/>
      <c r="R243" s="817"/>
      <c r="S243" s="810"/>
      <c r="T243" s="814"/>
      <c r="AA243" s="80" t="str">
        <f>AA242</f>
        <v>1-1-7</v>
      </c>
      <c r="AB243" s="317" t="str">
        <f t="shared" si="39"/>
        <v>نعم - تم  النشر .</v>
      </c>
      <c r="AC243" s="317" t="str">
        <f t="shared" si="40"/>
        <v>1-1-7-نعم - تم  النشر .</v>
      </c>
      <c r="AD243" s="319">
        <f t="shared" si="41"/>
        <v>1</v>
      </c>
      <c r="AE243" s="320">
        <f>IF(AD243="","",AD243*$R$242)</f>
        <v>4</v>
      </c>
    </row>
    <row r="244" spans="1:31" ht="30.75" x14ac:dyDescent="0.5">
      <c r="A244" s="894"/>
      <c r="B244" s="775"/>
      <c r="C244" s="778"/>
      <c r="D244" s="803"/>
      <c r="E244" s="781"/>
      <c r="F244" s="784"/>
      <c r="G244" s="784"/>
      <c r="H244" s="784"/>
      <c r="I244" s="69"/>
      <c r="J244" s="70"/>
      <c r="K244" s="71"/>
      <c r="L244" s="15"/>
      <c r="M244" s="14"/>
      <c r="N244" s="15"/>
      <c r="O244" s="14"/>
      <c r="P244" s="15"/>
      <c r="Q244" s="205"/>
      <c r="R244" s="206"/>
      <c r="S244" s="810"/>
      <c r="T244" s="814"/>
      <c r="AD244" s="319"/>
      <c r="AE244" s="320"/>
    </row>
    <row r="245" spans="1:31" ht="23.25" x14ac:dyDescent="0.5">
      <c r="A245" s="894"/>
      <c r="B245" s="775"/>
      <c r="C245" s="778"/>
      <c r="D245" s="803"/>
      <c r="E245" s="781"/>
      <c r="F245" s="784">
        <v>4</v>
      </c>
      <c r="G245" s="784"/>
      <c r="H245" s="784">
        <v>4</v>
      </c>
      <c r="I245" s="797">
        <v>8</v>
      </c>
      <c r="J245" s="798" t="s">
        <v>62</v>
      </c>
      <c r="K245" s="799">
        <v>4</v>
      </c>
      <c r="L245" s="800" t="s">
        <v>0</v>
      </c>
      <c r="M245" s="801" t="s">
        <v>63</v>
      </c>
      <c r="N245" s="18" t="s">
        <v>1</v>
      </c>
      <c r="O245" s="19" t="s">
        <v>47</v>
      </c>
      <c r="P245" s="18" t="s">
        <v>2</v>
      </c>
      <c r="Q245" s="818">
        <v>100</v>
      </c>
      <c r="R245" s="817">
        <f>Q245*K245*0.01</f>
        <v>4</v>
      </c>
      <c r="S245" s="810"/>
      <c r="T245" s="814"/>
      <c r="AA245" s="80" t="str">
        <f t="shared" si="42"/>
        <v>1-1-8</v>
      </c>
      <c r="AB245" s="317" t="str">
        <f t="shared" si="39"/>
        <v>لا - لم يتم النشر .</v>
      </c>
      <c r="AC245" s="317" t="str">
        <f t="shared" si="40"/>
        <v>1-1-8-لا - لم يتم النشر .</v>
      </c>
      <c r="AD245" s="319">
        <f t="shared" si="41"/>
        <v>0</v>
      </c>
      <c r="AE245" s="320">
        <f>IF(AD245="","",AD245*$R$245)</f>
        <v>0</v>
      </c>
    </row>
    <row r="246" spans="1:31" ht="24" thickBot="1" x14ac:dyDescent="0.55000000000000004">
      <c r="A246" s="895"/>
      <c r="B246" s="776"/>
      <c r="C246" s="779"/>
      <c r="D246" s="804"/>
      <c r="E246" s="782"/>
      <c r="F246" s="786"/>
      <c r="G246" s="786"/>
      <c r="H246" s="786"/>
      <c r="I246" s="819"/>
      <c r="J246" s="820"/>
      <c r="K246" s="821"/>
      <c r="L246" s="822"/>
      <c r="M246" s="823"/>
      <c r="N246" s="54" t="s">
        <v>3</v>
      </c>
      <c r="O246" s="53" t="s">
        <v>48</v>
      </c>
      <c r="P246" s="208">
        <v>1</v>
      </c>
      <c r="Q246" s="816"/>
      <c r="R246" s="824"/>
      <c r="S246" s="812"/>
      <c r="T246" s="815"/>
      <c r="AA246" s="80" t="str">
        <f>AA245</f>
        <v>1-1-8</v>
      </c>
      <c r="AB246" s="317" t="str">
        <f t="shared" si="39"/>
        <v>نعم - تم  النشر .</v>
      </c>
      <c r="AC246" s="317" t="str">
        <f t="shared" si="40"/>
        <v>1-1-8-نعم - تم  النشر .</v>
      </c>
      <c r="AD246" s="319">
        <f t="shared" si="41"/>
        <v>1</v>
      </c>
      <c r="AE246" s="320">
        <f>IF(AD246="","",AD246*$R$245)</f>
        <v>4</v>
      </c>
    </row>
    <row r="247" spans="1:31" ht="37.5" thickBot="1" x14ac:dyDescent="0.55000000000000004">
      <c r="A247" s="12"/>
      <c r="B247" s="362"/>
      <c r="C247" s="12"/>
      <c r="D247" s="78"/>
      <c r="E247" s="63"/>
      <c r="F247" s="63"/>
      <c r="G247" s="63"/>
      <c r="H247" s="63"/>
      <c r="I247" s="72"/>
      <c r="J247" s="62"/>
      <c r="K247" s="72"/>
      <c r="L247" s="20"/>
      <c r="M247" s="21"/>
      <c r="N247" s="20"/>
      <c r="O247" s="21"/>
      <c r="P247" s="20"/>
      <c r="Q247" s="64"/>
      <c r="R247" s="65"/>
      <c r="S247" s="67"/>
      <c r="T247" s="67"/>
      <c r="AD247" s="319"/>
      <c r="AE247" s="320"/>
    </row>
    <row r="248" spans="1:31" ht="23.25" x14ac:dyDescent="0.5">
      <c r="A248" s="896" t="s">
        <v>447</v>
      </c>
      <c r="B248" s="863">
        <v>2</v>
      </c>
      <c r="C248" s="756" t="s">
        <v>43</v>
      </c>
      <c r="D248" s="825">
        <v>0.25</v>
      </c>
      <c r="E248" s="827">
        <v>2</v>
      </c>
      <c r="F248" s="829">
        <f>SUM(H248)</f>
        <v>20</v>
      </c>
      <c r="G248" s="829" t="s">
        <v>64</v>
      </c>
      <c r="H248" s="829">
        <f>SUM(K248:K265)</f>
        <v>20</v>
      </c>
      <c r="I248" s="831">
        <v>1</v>
      </c>
      <c r="J248" s="832" t="s">
        <v>65</v>
      </c>
      <c r="K248" s="833">
        <v>5</v>
      </c>
      <c r="L248" s="834" t="s">
        <v>0</v>
      </c>
      <c r="M248" s="835" t="s">
        <v>67</v>
      </c>
      <c r="N248" s="22" t="s">
        <v>1</v>
      </c>
      <c r="O248" s="23" t="s">
        <v>66</v>
      </c>
      <c r="P248" s="209" t="s">
        <v>2</v>
      </c>
      <c r="Q248" s="837">
        <v>100</v>
      </c>
      <c r="R248" s="843">
        <f>Q248*K248*0.01</f>
        <v>5</v>
      </c>
      <c r="S248" s="844">
        <f>SUM(R248:R271)</f>
        <v>25</v>
      </c>
      <c r="T248" s="846">
        <f>SUM(S248:S276)</f>
        <v>35</v>
      </c>
      <c r="AA248" s="80" t="str">
        <f>$B$248&amp;"-"&amp;$E$248&amp;"-"&amp;I248</f>
        <v>2-2-1</v>
      </c>
      <c r="AB248" s="317" t="str">
        <f t="shared" si="39"/>
        <v>لا - لا يوجد موقع إلكتروني</v>
      </c>
      <c r="AC248" s="317" t="str">
        <f t="shared" si="40"/>
        <v>2-2-1-لا - لا يوجد موقع إلكتروني</v>
      </c>
      <c r="AD248" s="319">
        <f>IF(AB248="","",IF(AND(LEN(AB248)=36,RIGHT(AB248,6)="التالي"),"",IF(P248="صفر",0,P248)))</f>
        <v>0</v>
      </c>
      <c r="AE248" s="320">
        <f>IF(AD248="","",AD248*$R$248)</f>
        <v>0</v>
      </c>
    </row>
    <row r="249" spans="1:31" ht="23.25" x14ac:dyDescent="0.5">
      <c r="A249" s="897"/>
      <c r="B249" s="864"/>
      <c r="C249" s="757"/>
      <c r="D249" s="826"/>
      <c r="E249" s="828"/>
      <c r="F249" s="830"/>
      <c r="G249" s="830"/>
      <c r="H249" s="830"/>
      <c r="I249" s="797"/>
      <c r="J249" s="798"/>
      <c r="K249" s="799"/>
      <c r="L249" s="800"/>
      <c r="M249" s="801"/>
      <c r="N249" s="18" t="s">
        <v>3</v>
      </c>
      <c r="O249" s="800" t="s">
        <v>14</v>
      </c>
      <c r="P249" s="838"/>
      <c r="Q249" s="818"/>
      <c r="R249" s="817"/>
      <c r="S249" s="845"/>
      <c r="T249" s="847"/>
      <c r="AA249" s="80" t="str">
        <f>AA248</f>
        <v>2-2-1</v>
      </c>
      <c r="AB249" s="317" t="str">
        <f t="shared" si="39"/>
        <v>نعم - يتم الانتقال إلى السؤال التالي</v>
      </c>
      <c r="AC249" s="317" t="str">
        <f t="shared" si="40"/>
        <v>2-2-1-نعم - يتم الانتقال إلى السؤال التالي</v>
      </c>
      <c r="AD249" s="319" t="str">
        <f t="shared" si="41"/>
        <v/>
      </c>
      <c r="AE249" s="320" t="s">
        <v>374</v>
      </c>
    </row>
    <row r="250" spans="1:31" ht="23.25" x14ac:dyDescent="0.5">
      <c r="A250" s="897"/>
      <c r="B250" s="864"/>
      <c r="C250" s="757"/>
      <c r="D250" s="826"/>
      <c r="E250" s="828"/>
      <c r="F250" s="830"/>
      <c r="G250" s="830"/>
      <c r="H250" s="830"/>
      <c r="I250" s="69"/>
      <c r="J250" s="73"/>
      <c r="K250" s="799"/>
      <c r="L250" s="11"/>
      <c r="M250" s="14"/>
      <c r="N250" s="15"/>
      <c r="O250" s="14"/>
      <c r="P250" s="15"/>
      <c r="Q250" s="818"/>
      <c r="R250" s="817"/>
      <c r="S250" s="845"/>
      <c r="T250" s="847"/>
      <c r="AD250" s="319"/>
      <c r="AE250" s="320"/>
    </row>
    <row r="251" spans="1:31" ht="23.25" x14ac:dyDescent="0.5">
      <c r="A251" s="897"/>
      <c r="B251" s="864"/>
      <c r="C251" s="757"/>
      <c r="D251" s="826"/>
      <c r="E251" s="828"/>
      <c r="F251" s="830"/>
      <c r="G251" s="830"/>
      <c r="H251" s="830"/>
      <c r="I251" s="797">
        <v>2</v>
      </c>
      <c r="J251" s="798" t="s">
        <v>68</v>
      </c>
      <c r="K251" s="799"/>
      <c r="L251" s="800" t="s">
        <v>0</v>
      </c>
      <c r="M251" s="801" t="s">
        <v>69</v>
      </c>
      <c r="N251" s="24" t="s">
        <v>1</v>
      </c>
      <c r="O251" s="25" t="s">
        <v>72</v>
      </c>
      <c r="P251" s="210" t="s">
        <v>2</v>
      </c>
      <c r="Q251" s="818"/>
      <c r="R251" s="817"/>
      <c r="S251" s="845"/>
      <c r="T251" s="847"/>
      <c r="AA251" s="80" t="str">
        <f>$B$248&amp;"-"&amp;$E$248&amp;"-"&amp;I251</f>
        <v>2-2-2</v>
      </c>
      <c r="AB251" s="317" t="str">
        <f t="shared" si="39"/>
        <v xml:space="preserve">لا - لا يتم تحديثه </v>
      </c>
      <c r="AC251" s="317" t="str">
        <f t="shared" si="40"/>
        <v xml:space="preserve">2-2-2-لا - لا يتم تحديثه </v>
      </c>
      <c r="AD251" s="319">
        <f t="shared" si="41"/>
        <v>0</v>
      </c>
      <c r="AE251" s="320">
        <f>IF(AD251="","",AD251*$R$248)</f>
        <v>0</v>
      </c>
    </row>
    <row r="252" spans="1:31" ht="23.25" x14ac:dyDescent="0.5">
      <c r="A252" s="897"/>
      <c r="B252" s="864"/>
      <c r="C252" s="757"/>
      <c r="D252" s="826"/>
      <c r="E252" s="828"/>
      <c r="F252" s="830"/>
      <c r="G252" s="830"/>
      <c r="H252" s="830"/>
      <c r="I252" s="797"/>
      <c r="J252" s="798"/>
      <c r="K252" s="799"/>
      <c r="L252" s="800"/>
      <c r="M252" s="801"/>
      <c r="N252" s="800" t="s">
        <v>3</v>
      </c>
      <c r="O252" s="19" t="s">
        <v>70</v>
      </c>
      <c r="P252" s="211">
        <v>0.5</v>
      </c>
      <c r="Q252" s="818"/>
      <c r="R252" s="817"/>
      <c r="S252" s="845"/>
      <c r="T252" s="847"/>
      <c r="AA252" s="80" t="str">
        <f>AA251</f>
        <v>2-2-2</v>
      </c>
      <c r="AB252" s="317" t="str">
        <f t="shared" si="39"/>
        <v>نعم - يتم تحديثة بشكل جزئي</v>
      </c>
      <c r="AC252" s="317" t="str">
        <f t="shared" si="40"/>
        <v>2-2-2-نعم - يتم تحديثة بشكل جزئي</v>
      </c>
      <c r="AD252" s="319">
        <f t="shared" si="41"/>
        <v>0.5</v>
      </c>
      <c r="AE252" s="320">
        <f t="shared" ref="AE252:AE253" si="48">IF(AD252="","",AD252*$R$248)</f>
        <v>2.5</v>
      </c>
    </row>
    <row r="253" spans="1:31" ht="23.25" x14ac:dyDescent="0.5">
      <c r="A253" s="897"/>
      <c r="B253" s="864"/>
      <c r="C253" s="757"/>
      <c r="D253" s="826"/>
      <c r="E253" s="828"/>
      <c r="F253" s="830"/>
      <c r="G253" s="830"/>
      <c r="H253" s="830"/>
      <c r="I253" s="797"/>
      <c r="J253" s="798"/>
      <c r="K253" s="799"/>
      <c r="L253" s="800"/>
      <c r="M253" s="801"/>
      <c r="N253" s="800"/>
      <c r="O253" s="19" t="s">
        <v>71</v>
      </c>
      <c r="P253" s="211">
        <v>1</v>
      </c>
      <c r="Q253" s="818"/>
      <c r="R253" s="817"/>
      <c r="S253" s="845"/>
      <c r="T253" s="847"/>
      <c r="AA253" s="80" t="str">
        <f>AA252</f>
        <v>2-2-2</v>
      </c>
      <c r="AB253" s="317" t="str">
        <f>N252&amp;" - "&amp;O253</f>
        <v>نعم - يتم تجديثة دورياً</v>
      </c>
      <c r="AC253" s="317" t="str">
        <f t="shared" si="40"/>
        <v>2-2-2-نعم - يتم تجديثة دورياً</v>
      </c>
      <c r="AD253" s="319">
        <f t="shared" si="41"/>
        <v>1</v>
      </c>
      <c r="AE253" s="320">
        <f t="shared" si="48"/>
        <v>5</v>
      </c>
    </row>
    <row r="254" spans="1:31" ht="30.75" x14ac:dyDescent="0.5">
      <c r="A254" s="897"/>
      <c r="B254" s="864"/>
      <c r="C254" s="757"/>
      <c r="D254" s="826"/>
      <c r="E254" s="828"/>
      <c r="F254" s="830"/>
      <c r="G254" s="830"/>
      <c r="H254" s="830"/>
      <c r="I254" s="69"/>
      <c r="J254" s="70"/>
      <c r="K254" s="71"/>
      <c r="L254" s="15"/>
      <c r="M254" s="14"/>
      <c r="N254" s="15"/>
      <c r="O254" s="14"/>
      <c r="P254" s="15"/>
      <c r="Q254" s="205"/>
      <c r="R254" s="206"/>
      <c r="S254" s="845"/>
      <c r="T254" s="847"/>
      <c r="AD254" s="319"/>
      <c r="AE254" s="320"/>
    </row>
    <row r="255" spans="1:31" ht="23.25" x14ac:dyDescent="0.5">
      <c r="A255" s="897"/>
      <c r="B255" s="864"/>
      <c r="C255" s="757"/>
      <c r="D255" s="826"/>
      <c r="E255" s="828"/>
      <c r="F255" s="830">
        <v>5</v>
      </c>
      <c r="G255" s="830"/>
      <c r="H255" s="830">
        <v>5</v>
      </c>
      <c r="I255" s="797">
        <v>3</v>
      </c>
      <c r="J255" s="798" t="s">
        <v>73</v>
      </c>
      <c r="K255" s="799">
        <v>5</v>
      </c>
      <c r="L255" s="800" t="s">
        <v>0</v>
      </c>
      <c r="M255" s="801" t="s">
        <v>74</v>
      </c>
      <c r="N255" s="24" t="s">
        <v>1</v>
      </c>
      <c r="O255" s="25" t="s">
        <v>22</v>
      </c>
      <c r="P255" s="24" t="s">
        <v>2</v>
      </c>
      <c r="Q255" s="818">
        <v>100</v>
      </c>
      <c r="R255" s="817">
        <f>Q255*K255*0.01</f>
        <v>5</v>
      </c>
      <c r="S255" s="845"/>
      <c r="T255" s="847"/>
      <c r="AA255" s="80" t="str">
        <f t="shared" ref="AA255:AA270" si="49">$B$248&amp;"-"&amp;$E$248&amp;"-"&amp;I255</f>
        <v>2-2-3</v>
      </c>
      <c r="AB255" s="317" t="str">
        <f t="shared" si="39"/>
        <v>لا - لم يتم الإفصاح عن ذلك.</v>
      </c>
      <c r="AC255" s="317" t="str">
        <f t="shared" si="40"/>
        <v>2-2-3-لا - لم يتم الإفصاح عن ذلك.</v>
      </c>
      <c r="AD255" s="319">
        <f t="shared" si="41"/>
        <v>0</v>
      </c>
      <c r="AE255" s="320">
        <f>IF(AD255="","",AD255*$R$255)</f>
        <v>0</v>
      </c>
    </row>
    <row r="256" spans="1:31" ht="23.25" x14ac:dyDescent="0.5">
      <c r="A256" s="897"/>
      <c r="B256" s="864"/>
      <c r="C256" s="757"/>
      <c r="D256" s="826"/>
      <c r="E256" s="828"/>
      <c r="F256" s="830"/>
      <c r="G256" s="830"/>
      <c r="H256" s="830"/>
      <c r="I256" s="797"/>
      <c r="J256" s="798"/>
      <c r="K256" s="799"/>
      <c r="L256" s="800"/>
      <c r="M256" s="801"/>
      <c r="N256" s="18" t="s">
        <v>3</v>
      </c>
      <c r="O256" s="19" t="s">
        <v>21</v>
      </c>
      <c r="P256" s="207">
        <v>1</v>
      </c>
      <c r="Q256" s="816"/>
      <c r="R256" s="817"/>
      <c r="S256" s="845"/>
      <c r="T256" s="847"/>
      <c r="AA256" s="80" t="str">
        <f>AA255</f>
        <v>2-2-3</v>
      </c>
      <c r="AB256" s="317" t="str">
        <f t="shared" si="39"/>
        <v>نعم - تم الإفصاح بشكل متكامل.</v>
      </c>
      <c r="AC256" s="317" t="str">
        <f t="shared" si="40"/>
        <v>2-2-3-نعم - تم الإفصاح بشكل متكامل.</v>
      </c>
      <c r="AD256" s="319">
        <f t="shared" si="41"/>
        <v>1</v>
      </c>
      <c r="AE256" s="320">
        <f>IF(AD256="","",AD256*$R$255)</f>
        <v>5</v>
      </c>
    </row>
    <row r="257" spans="1:31" ht="30.75" x14ac:dyDescent="0.5">
      <c r="A257" s="897"/>
      <c r="B257" s="864"/>
      <c r="C257" s="757"/>
      <c r="D257" s="826"/>
      <c r="E257" s="828"/>
      <c r="F257" s="830"/>
      <c r="G257" s="830"/>
      <c r="H257" s="830"/>
      <c r="I257" s="69"/>
      <c r="J257" s="70"/>
      <c r="K257" s="71"/>
      <c r="L257" s="15"/>
      <c r="M257" s="14"/>
      <c r="N257" s="15"/>
      <c r="O257" s="14"/>
      <c r="P257" s="15"/>
      <c r="Q257" s="205"/>
      <c r="R257" s="206"/>
      <c r="S257" s="845"/>
      <c r="T257" s="847"/>
      <c r="AD257" s="319"/>
      <c r="AE257" s="320"/>
    </row>
    <row r="258" spans="1:31" ht="23.25" x14ac:dyDescent="0.5">
      <c r="A258" s="897"/>
      <c r="B258" s="864"/>
      <c r="C258" s="757"/>
      <c r="D258" s="826"/>
      <c r="E258" s="828"/>
      <c r="F258" s="830">
        <v>5</v>
      </c>
      <c r="G258" s="830"/>
      <c r="H258" s="830">
        <v>5</v>
      </c>
      <c r="I258" s="797">
        <v>4</v>
      </c>
      <c r="J258" s="798" t="s">
        <v>75</v>
      </c>
      <c r="K258" s="799">
        <v>5</v>
      </c>
      <c r="L258" s="800" t="s">
        <v>0</v>
      </c>
      <c r="M258" s="801" t="s">
        <v>76</v>
      </c>
      <c r="N258" s="18" t="s">
        <v>1</v>
      </c>
      <c r="O258" s="19" t="s">
        <v>77</v>
      </c>
      <c r="P258" s="18" t="s">
        <v>2</v>
      </c>
      <c r="Q258" s="818">
        <v>100</v>
      </c>
      <c r="R258" s="817">
        <f>Q258*K258*0.01</f>
        <v>5</v>
      </c>
      <c r="S258" s="845"/>
      <c r="T258" s="847"/>
      <c r="AA258" s="80" t="str">
        <f t="shared" si="49"/>
        <v>2-2-4</v>
      </c>
      <c r="AB258" s="317" t="str">
        <f t="shared" si="39"/>
        <v>لا - لم يتم الإفصاح .</v>
      </c>
      <c r="AC258" s="317" t="str">
        <f t="shared" si="40"/>
        <v>2-2-4-لا - لم يتم الإفصاح .</v>
      </c>
      <c r="AD258" s="319">
        <f t="shared" si="41"/>
        <v>0</v>
      </c>
      <c r="AE258" s="320">
        <f>IF(AD258="","",AD258*$R$258)</f>
        <v>0</v>
      </c>
    </row>
    <row r="259" spans="1:31" ht="23.25" x14ac:dyDescent="0.5">
      <c r="A259" s="897"/>
      <c r="B259" s="864"/>
      <c r="C259" s="757"/>
      <c r="D259" s="826"/>
      <c r="E259" s="828"/>
      <c r="F259" s="830"/>
      <c r="G259" s="830"/>
      <c r="H259" s="830"/>
      <c r="I259" s="797"/>
      <c r="J259" s="798"/>
      <c r="K259" s="799"/>
      <c r="L259" s="800"/>
      <c r="M259" s="801"/>
      <c r="N259" s="18" t="s">
        <v>3</v>
      </c>
      <c r="O259" s="19" t="s">
        <v>78</v>
      </c>
      <c r="P259" s="207">
        <v>1</v>
      </c>
      <c r="Q259" s="816"/>
      <c r="R259" s="817"/>
      <c r="S259" s="845"/>
      <c r="T259" s="847"/>
      <c r="AA259" s="80" t="str">
        <f>AA258</f>
        <v>2-2-4</v>
      </c>
      <c r="AB259" s="317" t="str">
        <f t="shared" si="39"/>
        <v>نعم - تم الإفصاح .</v>
      </c>
      <c r="AC259" s="317" t="str">
        <f t="shared" si="40"/>
        <v>2-2-4-نعم - تم الإفصاح .</v>
      </c>
      <c r="AD259" s="319">
        <f t="shared" si="41"/>
        <v>1</v>
      </c>
      <c r="AE259" s="320">
        <f t="shared" ref="AE259" si="50">IF(AD259="","",AD259*$R$258)</f>
        <v>5</v>
      </c>
    </row>
    <row r="260" spans="1:31" ht="30.75" x14ac:dyDescent="0.5">
      <c r="A260" s="897"/>
      <c r="B260" s="864"/>
      <c r="C260" s="757"/>
      <c r="D260" s="826"/>
      <c r="E260" s="828"/>
      <c r="F260" s="830"/>
      <c r="G260" s="830"/>
      <c r="H260" s="830"/>
      <c r="I260" s="69"/>
      <c r="J260" s="70"/>
      <c r="K260" s="71"/>
      <c r="L260" s="15"/>
      <c r="M260" s="14"/>
      <c r="N260" s="15"/>
      <c r="O260" s="14"/>
      <c r="P260" s="15"/>
      <c r="Q260" s="205"/>
      <c r="R260" s="206"/>
      <c r="S260" s="845"/>
      <c r="T260" s="847"/>
      <c r="AD260" s="319"/>
      <c r="AE260" s="320"/>
    </row>
    <row r="261" spans="1:31" ht="23.25" x14ac:dyDescent="0.5">
      <c r="A261" s="897"/>
      <c r="B261" s="864"/>
      <c r="C261" s="757"/>
      <c r="D261" s="826"/>
      <c r="E261" s="828"/>
      <c r="F261" s="830">
        <v>5</v>
      </c>
      <c r="G261" s="830"/>
      <c r="H261" s="830">
        <v>5</v>
      </c>
      <c r="I261" s="797">
        <v>5</v>
      </c>
      <c r="J261" s="798" t="s">
        <v>79</v>
      </c>
      <c r="K261" s="836">
        <v>5</v>
      </c>
      <c r="L261" s="800" t="s">
        <v>0</v>
      </c>
      <c r="M261" s="801" t="s">
        <v>80</v>
      </c>
      <c r="N261" s="26" t="s">
        <v>1</v>
      </c>
      <c r="O261" s="27" t="s">
        <v>81</v>
      </c>
      <c r="P261" s="212">
        <v>1</v>
      </c>
      <c r="Q261" s="818">
        <v>100</v>
      </c>
      <c r="R261" s="866">
        <f>Q261*K261*0.01</f>
        <v>5</v>
      </c>
      <c r="S261" s="845"/>
      <c r="T261" s="847"/>
      <c r="AA261" s="80" t="str">
        <f t="shared" si="49"/>
        <v>2-2-5</v>
      </c>
      <c r="AB261" s="317" t="str">
        <f t="shared" si="39"/>
        <v>لا - لا يوجد</v>
      </c>
      <c r="AC261" s="317" t="str">
        <f t="shared" si="40"/>
        <v>2-2-5-لا - لا يوجد</v>
      </c>
      <c r="AD261" s="319">
        <f t="shared" si="41"/>
        <v>1</v>
      </c>
      <c r="AE261" s="320">
        <f>IF(AD261="","",AD261*$R$261)</f>
        <v>5</v>
      </c>
    </row>
    <row r="262" spans="1:31" ht="23.25" x14ac:dyDescent="0.5">
      <c r="A262" s="897"/>
      <c r="B262" s="864"/>
      <c r="C262" s="757"/>
      <c r="D262" s="826"/>
      <c r="E262" s="828"/>
      <c r="F262" s="830"/>
      <c r="G262" s="830"/>
      <c r="H262" s="830"/>
      <c r="I262" s="797"/>
      <c r="J262" s="798"/>
      <c r="K262" s="836"/>
      <c r="L262" s="800"/>
      <c r="M262" s="801"/>
      <c r="N262" s="18" t="s">
        <v>3</v>
      </c>
      <c r="O262" s="800" t="s">
        <v>14</v>
      </c>
      <c r="P262" s="838"/>
      <c r="Q262" s="818"/>
      <c r="R262" s="866"/>
      <c r="S262" s="845"/>
      <c r="T262" s="847"/>
      <c r="AA262" s="80" t="str">
        <f>AA261</f>
        <v>2-2-5</v>
      </c>
      <c r="AB262" s="317" t="str">
        <f t="shared" si="39"/>
        <v>نعم - يتم الانتقال إلى السؤال التالي</v>
      </c>
      <c r="AC262" s="317" t="str">
        <f t="shared" si="40"/>
        <v>2-2-5-نعم - يتم الانتقال إلى السؤال التالي</v>
      </c>
      <c r="AD262" s="319" t="str">
        <f t="shared" si="41"/>
        <v/>
      </c>
      <c r="AE262" s="320" t="s">
        <v>374</v>
      </c>
    </row>
    <row r="263" spans="1:31" ht="23.25" x14ac:dyDescent="0.5">
      <c r="A263" s="897"/>
      <c r="B263" s="864"/>
      <c r="C263" s="757"/>
      <c r="D263" s="826"/>
      <c r="E263" s="828"/>
      <c r="F263" s="830"/>
      <c r="G263" s="830"/>
      <c r="H263" s="830"/>
      <c r="I263" s="69"/>
      <c r="J263" s="73"/>
      <c r="K263" s="836"/>
      <c r="L263" s="11"/>
      <c r="M263" s="14"/>
      <c r="N263" s="15"/>
      <c r="O263" s="14"/>
      <c r="P263" s="15"/>
      <c r="Q263" s="818"/>
      <c r="R263" s="866"/>
      <c r="S263" s="845"/>
      <c r="T263" s="847"/>
      <c r="AD263" s="319"/>
      <c r="AE263" s="320"/>
    </row>
    <row r="264" spans="1:31" ht="23.25" x14ac:dyDescent="0.5">
      <c r="A264" s="897"/>
      <c r="B264" s="864"/>
      <c r="C264" s="757"/>
      <c r="D264" s="826"/>
      <c r="E264" s="828"/>
      <c r="F264" s="830"/>
      <c r="G264" s="830"/>
      <c r="H264" s="830"/>
      <c r="I264" s="797">
        <v>6</v>
      </c>
      <c r="J264" s="798" t="s">
        <v>82</v>
      </c>
      <c r="K264" s="836"/>
      <c r="L264" s="800" t="s">
        <v>0</v>
      </c>
      <c r="M264" s="801" t="s">
        <v>83</v>
      </c>
      <c r="N264" s="18" t="s">
        <v>1</v>
      </c>
      <c r="O264" s="19" t="s">
        <v>77</v>
      </c>
      <c r="P264" s="52" t="s">
        <v>2</v>
      </c>
      <c r="Q264" s="818"/>
      <c r="R264" s="866"/>
      <c r="S264" s="845"/>
      <c r="T264" s="847"/>
      <c r="AA264" s="80" t="str">
        <f t="shared" si="49"/>
        <v>2-2-6</v>
      </c>
      <c r="AB264" s="317" t="str">
        <f t="shared" si="39"/>
        <v>لا - لم يتم الإفصاح .</v>
      </c>
      <c r="AC264" s="317" t="str">
        <f t="shared" si="40"/>
        <v>2-2-6-لا - لم يتم الإفصاح .</v>
      </c>
      <c r="AD264" s="319">
        <f t="shared" si="41"/>
        <v>0</v>
      </c>
      <c r="AE264" s="320">
        <f>IF(AD264="","",AD264*$R$261)</f>
        <v>0</v>
      </c>
    </row>
    <row r="265" spans="1:31" ht="23.25" x14ac:dyDescent="0.5">
      <c r="A265" s="897"/>
      <c r="B265" s="864"/>
      <c r="C265" s="757"/>
      <c r="D265" s="826"/>
      <c r="E265" s="828"/>
      <c r="F265" s="830"/>
      <c r="G265" s="830"/>
      <c r="H265" s="830"/>
      <c r="I265" s="797"/>
      <c r="J265" s="798"/>
      <c r="K265" s="836"/>
      <c r="L265" s="800"/>
      <c r="M265" s="801"/>
      <c r="N265" s="18" t="s">
        <v>3</v>
      </c>
      <c r="O265" s="19" t="s">
        <v>78</v>
      </c>
      <c r="P265" s="211">
        <v>1</v>
      </c>
      <c r="Q265" s="818"/>
      <c r="R265" s="866"/>
      <c r="S265" s="845"/>
      <c r="T265" s="847"/>
      <c r="AA265" s="80" t="str">
        <f>AA264</f>
        <v>2-2-6</v>
      </c>
      <c r="AB265" s="317" t="str">
        <f t="shared" si="39"/>
        <v>نعم - تم الإفصاح .</v>
      </c>
      <c r="AC265" s="317" t="str">
        <f t="shared" si="40"/>
        <v>2-2-6-نعم - تم الإفصاح .</v>
      </c>
      <c r="AD265" s="319">
        <f t="shared" si="41"/>
        <v>1</v>
      </c>
      <c r="AE265" s="320">
        <f>IF(AD265="","",AD265*$R$261)</f>
        <v>5</v>
      </c>
    </row>
    <row r="266" spans="1:31" ht="30.75" x14ac:dyDescent="0.5">
      <c r="A266" s="897"/>
      <c r="B266" s="864"/>
      <c r="C266" s="757"/>
      <c r="D266" s="826"/>
      <c r="E266" s="828"/>
      <c r="F266" s="74"/>
      <c r="G266" s="74"/>
      <c r="H266" s="74"/>
      <c r="I266" s="71"/>
      <c r="J266" s="70"/>
      <c r="K266" s="71"/>
      <c r="L266" s="15"/>
      <c r="M266" s="14"/>
      <c r="N266" s="15"/>
      <c r="O266" s="14"/>
      <c r="P266" s="15"/>
      <c r="Q266" s="205"/>
      <c r="R266" s="206"/>
      <c r="S266" s="845"/>
      <c r="T266" s="847"/>
      <c r="AD266" s="319"/>
      <c r="AE266" s="320"/>
    </row>
    <row r="267" spans="1:31" ht="23.25" x14ac:dyDescent="0.5">
      <c r="A267" s="897"/>
      <c r="B267" s="864"/>
      <c r="C267" s="757"/>
      <c r="D267" s="826"/>
      <c r="E267" s="828"/>
      <c r="F267" s="830">
        <v>5</v>
      </c>
      <c r="G267" s="830" t="s">
        <v>89</v>
      </c>
      <c r="H267" s="830">
        <v>5</v>
      </c>
      <c r="I267" s="797">
        <v>7</v>
      </c>
      <c r="J267" s="798" t="s">
        <v>84</v>
      </c>
      <c r="K267" s="799">
        <v>5</v>
      </c>
      <c r="L267" s="800" t="s">
        <v>16</v>
      </c>
      <c r="M267" s="801" t="s">
        <v>86</v>
      </c>
      <c r="N267" s="26" t="s">
        <v>1</v>
      </c>
      <c r="O267" s="27" t="s">
        <v>87</v>
      </c>
      <c r="P267" s="212">
        <v>1</v>
      </c>
      <c r="Q267" s="818">
        <v>100</v>
      </c>
      <c r="R267" s="817">
        <f>Q267*K267*0.01</f>
        <v>5</v>
      </c>
      <c r="S267" s="845"/>
      <c r="T267" s="847"/>
      <c r="AA267" s="80" t="str">
        <f t="shared" si="49"/>
        <v>2-2-7</v>
      </c>
      <c r="AB267" s="317" t="str">
        <f t="shared" si="39"/>
        <v xml:space="preserve">لا - لا توجد لجان دائمة.. </v>
      </c>
      <c r="AC267" s="317" t="str">
        <f t="shared" si="40"/>
        <v xml:space="preserve">2-2-7-لا - لا توجد لجان دائمة.. </v>
      </c>
      <c r="AD267" s="319">
        <f t="shared" si="41"/>
        <v>1</v>
      </c>
      <c r="AE267" s="320">
        <f>IF(AD267="","",AD267*$R$267)</f>
        <v>5</v>
      </c>
    </row>
    <row r="268" spans="1:31" ht="23.25" x14ac:dyDescent="0.5">
      <c r="A268" s="897"/>
      <c r="B268" s="864"/>
      <c r="C268" s="757"/>
      <c r="D268" s="826"/>
      <c r="E268" s="828"/>
      <c r="F268" s="830"/>
      <c r="G268" s="830"/>
      <c r="H268" s="830"/>
      <c r="I268" s="797"/>
      <c r="J268" s="798"/>
      <c r="K268" s="799"/>
      <c r="L268" s="800"/>
      <c r="M268" s="801"/>
      <c r="N268" s="18" t="s">
        <v>3</v>
      </c>
      <c r="O268" s="800" t="s">
        <v>14</v>
      </c>
      <c r="P268" s="838"/>
      <c r="Q268" s="818"/>
      <c r="R268" s="817"/>
      <c r="S268" s="845"/>
      <c r="T268" s="847"/>
      <c r="AA268" s="80" t="str">
        <f>AA267</f>
        <v>2-2-7</v>
      </c>
      <c r="AB268" s="317" t="str">
        <f t="shared" si="39"/>
        <v>نعم - يتم الانتقال إلى السؤال التالي</v>
      </c>
      <c r="AC268" s="317" t="str">
        <f t="shared" si="40"/>
        <v>2-2-7-نعم - يتم الانتقال إلى السؤال التالي</v>
      </c>
      <c r="AD268" s="319" t="str">
        <f t="shared" si="41"/>
        <v/>
      </c>
      <c r="AE268" s="320" t="s">
        <v>374</v>
      </c>
    </row>
    <row r="269" spans="1:31" ht="23.25" x14ac:dyDescent="0.5">
      <c r="A269" s="897"/>
      <c r="B269" s="864"/>
      <c r="C269" s="757"/>
      <c r="D269" s="826"/>
      <c r="E269" s="828"/>
      <c r="F269" s="830"/>
      <c r="G269" s="830"/>
      <c r="H269" s="830"/>
      <c r="I269" s="69"/>
      <c r="J269" s="73"/>
      <c r="K269" s="799"/>
      <c r="L269" s="11"/>
      <c r="M269" s="14"/>
      <c r="N269" s="15"/>
      <c r="O269" s="15"/>
      <c r="P269" s="15"/>
      <c r="Q269" s="818"/>
      <c r="R269" s="817"/>
      <c r="S269" s="845"/>
      <c r="T269" s="847"/>
      <c r="AD269" s="319"/>
      <c r="AE269" s="320"/>
    </row>
    <row r="270" spans="1:31" ht="23.25" x14ac:dyDescent="0.5">
      <c r="A270" s="897"/>
      <c r="B270" s="864"/>
      <c r="C270" s="757"/>
      <c r="D270" s="826"/>
      <c r="E270" s="828"/>
      <c r="F270" s="830"/>
      <c r="G270" s="830"/>
      <c r="H270" s="830"/>
      <c r="I270" s="797">
        <v>8</v>
      </c>
      <c r="J270" s="798" t="s">
        <v>85</v>
      </c>
      <c r="K270" s="799"/>
      <c r="L270" s="800" t="s">
        <v>0</v>
      </c>
      <c r="M270" s="801" t="s">
        <v>88</v>
      </c>
      <c r="N270" s="18" t="s">
        <v>1</v>
      </c>
      <c r="O270" s="19" t="s">
        <v>77</v>
      </c>
      <c r="P270" s="52" t="s">
        <v>2</v>
      </c>
      <c r="Q270" s="818"/>
      <c r="R270" s="817"/>
      <c r="S270" s="845"/>
      <c r="T270" s="847"/>
      <c r="AA270" s="80" t="str">
        <f t="shared" si="49"/>
        <v>2-2-8</v>
      </c>
      <c r="AB270" s="317" t="str">
        <f t="shared" si="39"/>
        <v>لا - لم يتم الإفصاح .</v>
      </c>
      <c r="AC270" s="317" t="str">
        <f t="shared" si="40"/>
        <v>2-2-8-لا - لم يتم الإفصاح .</v>
      </c>
      <c r="AD270" s="319">
        <f t="shared" si="41"/>
        <v>0</v>
      </c>
      <c r="AE270" s="320">
        <f>IF(AD270="","",AD270*$R$267)</f>
        <v>0</v>
      </c>
    </row>
    <row r="271" spans="1:31" ht="23.25" x14ac:dyDescent="0.5">
      <c r="A271" s="897"/>
      <c r="B271" s="864"/>
      <c r="C271" s="757"/>
      <c r="D271" s="826"/>
      <c r="E271" s="828"/>
      <c r="F271" s="830"/>
      <c r="G271" s="830"/>
      <c r="H271" s="830"/>
      <c r="I271" s="797"/>
      <c r="J271" s="798"/>
      <c r="K271" s="799"/>
      <c r="L271" s="800"/>
      <c r="M271" s="801"/>
      <c r="N271" s="18" t="s">
        <v>3</v>
      </c>
      <c r="O271" s="19" t="s">
        <v>78</v>
      </c>
      <c r="P271" s="211">
        <v>1</v>
      </c>
      <c r="Q271" s="818"/>
      <c r="R271" s="817"/>
      <c r="S271" s="845"/>
      <c r="T271" s="847"/>
      <c r="AA271" s="80" t="str">
        <f>AA270</f>
        <v>2-2-8</v>
      </c>
      <c r="AB271" s="317" t="str">
        <f t="shared" si="39"/>
        <v>نعم - تم الإفصاح .</v>
      </c>
      <c r="AC271" s="317" t="str">
        <f t="shared" si="40"/>
        <v>2-2-8-نعم - تم الإفصاح .</v>
      </c>
      <c r="AD271" s="319">
        <f t="shared" si="41"/>
        <v>1</v>
      </c>
      <c r="AE271" s="320">
        <f>IF(AD271="","",AD271*$R$267)</f>
        <v>5</v>
      </c>
    </row>
    <row r="272" spans="1:31" ht="30.75" x14ac:dyDescent="0.5">
      <c r="A272" s="897"/>
      <c r="B272" s="864"/>
      <c r="C272" s="757"/>
      <c r="D272" s="79"/>
      <c r="E272" s="75"/>
      <c r="F272" s="74"/>
      <c r="G272" s="74"/>
      <c r="H272" s="74"/>
      <c r="I272" s="71"/>
      <c r="J272" s="70"/>
      <c r="K272" s="71"/>
      <c r="L272" s="15"/>
      <c r="M272" s="14"/>
      <c r="N272" s="15"/>
      <c r="O272" s="14"/>
      <c r="P272" s="15"/>
      <c r="Q272" s="205"/>
      <c r="R272" s="213"/>
      <c r="S272" s="214"/>
      <c r="T272" s="847"/>
      <c r="AD272" s="319"/>
      <c r="AE272" s="320"/>
    </row>
    <row r="273" spans="1:31" ht="23.25" x14ac:dyDescent="0.5">
      <c r="A273" s="897"/>
      <c r="B273" s="864"/>
      <c r="C273" s="757"/>
      <c r="D273" s="826">
        <v>0.1</v>
      </c>
      <c r="E273" s="839">
        <v>3</v>
      </c>
      <c r="F273" s="830">
        <v>10</v>
      </c>
      <c r="G273" s="830" t="s">
        <v>90</v>
      </c>
      <c r="H273" s="830">
        <v>10</v>
      </c>
      <c r="I273" s="797">
        <v>1</v>
      </c>
      <c r="J273" s="798" t="s">
        <v>494</v>
      </c>
      <c r="K273" s="799">
        <v>10</v>
      </c>
      <c r="L273" s="800" t="s">
        <v>0</v>
      </c>
      <c r="M273" s="801" t="s">
        <v>495</v>
      </c>
      <c r="N273" s="26" t="s">
        <v>1</v>
      </c>
      <c r="O273" s="27" t="s">
        <v>22</v>
      </c>
      <c r="P273" s="215" t="s">
        <v>2</v>
      </c>
      <c r="Q273" s="818">
        <v>100</v>
      </c>
      <c r="R273" s="817">
        <f>Q273*K273*0.01</f>
        <v>10</v>
      </c>
      <c r="S273" s="845">
        <f>R273</f>
        <v>10</v>
      </c>
      <c r="T273" s="847"/>
      <c r="AA273" s="80" t="str">
        <f>$B$248&amp;"-"&amp;$E$273&amp;"-"&amp;I273</f>
        <v>2-3-1</v>
      </c>
      <c r="AB273" s="317" t="str">
        <f t="shared" si="39"/>
        <v>لا - لم يتم الإفصاح عن ذلك.</v>
      </c>
      <c r="AC273" s="317" t="str">
        <f t="shared" si="40"/>
        <v>2-3-1-لا - لم يتم الإفصاح عن ذلك.</v>
      </c>
      <c r="AD273" s="319">
        <f t="shared" si="41"/>
        <v>0</v>
      </c>
      <c r="AE273" s="320">
        <f>IF(AD273="","",AD273*$R$273)</f>
        <v>0</v>
      </c>
    </row>
    <row r="274" spans="1:31" ht="23.25" x14ac:dyDescent="0.5">
      <c r="A274" s="897"/>
      <c r="B274" s="864"/>
      <c r="C274" s="757"/>
      <c r="D274" s="826"/>
      <c r="E274" s="839"/>
      <c r="F274" s="830"/>
      <c r="G274" s="830"/>
      <c r="H274" s="830"/>
      <c r="I274" s="797"/>
      <c r="J274" s="798"/>
      <c r="K274" s="799"/>
      <c r="L274" s="800"/>
      <c r="M274" s="801"/>
      <c r="N274" s="18" t="s">
        <v>3</v>
      </c>
      <c r="O274" s="800" t="s">
        <v>14</v>
      </c>
      <c r="P274" s="800"/>
      <c r="Q274" s="816"/>
      <c r="R274" s="817"/>
      <c r="S274" s="845"/>
      <c r="T274" s="847"/>
      <c r="AA274" s="80" t="str">
        <f>AA273</f>
        <v>2-3-1</v>
      </c>
      <c r="AB274" s="317" t="str">
        <f t="shared" si="39"/>
        <v>نعم - يتم الانتقال إلى السؤال التالي</v>
      </c>
      <c r="AC274" s="317" t="str">
        <f t="shared" si="40"/>
        <v>2-3-1-نعم - يتم الانتقال إلى السؤال التالي</v>
      </c>
      <c r="AD274" s="319" t="str">
        <f t="shared" si="41"/>
        <v/>
      </c>
      <c r="AE274" s="320" t="s">
        <v>374</v>
      </c>
    </row>
    <row r="275" spans="1:31" ht="23.25" x14ac:dyDescent="0.5">
      <c r="A275" s="897"/>
      <c r="B275" s="864"/>
      <c r="C275" s="757"/>
      <c r="D275" s="826"/>
      <c r="E275" s="839"/>
      <c r="F275" s="830"/>
      <c r="G275" s="830"/>
      <c r="H275" s="830"/>
      <c r="I275" s="850">
        <v>2</v>
      </c>
      <c r="J275" s="852" t="s">
        <v>91</v>
      </c>
      <c r="K275" s="799"/>
      <c r="L275" s="854" t="s">
        <v>13</v>
      </c>
      <c r="M275" s="856" t="s">
        <v>94</v>
      </c>
      <c r="N275" s="365" t="s">
        <v>1</v>
      </c>
      <c r="O275" s="366" t="s">
        <v>92</v>
      </c>
      <c r="P275" s="365" t="s">
        <v>2</v>
      </c>
      <c r="Q275" s="816"/>
      <c r="R275" s="817"/>
      <c r="S275" s="845"/>
      <c r="T275" s="847"/>
      <c r="AA275" s="80" t="str">
        <f>$B$248&amp;"-"&amp;$E$273&amp;"-"&amp;I275</f>
        <v>2-3-2</v>
      </c>
      <c r="AB275" s="317" t="str">
        <f t="shared" si="39"/>
        <v>لا - لا يتم التفاعل</v>
      </c>
      <c r="AC275" s="317" t="str">
        <f t="shared" si="40"/>
        <v>2-3-2-لا - لا يتم التفاعل</v>
      </c>
      <c r="AD275" s="319">
        <f t="shared" si="41"/>
        <v>0</v>
      </c>
      <c r="AE275" s="320">
        <f>IF(AD275="","",AD275*$R$273)</f>
        <v>0</v>
      </c>
    </row>
    <row r="276" spans="1:31" ht="24" thickBot="1" x14ac:dyDescent="0.55000000000000004">
      <c r="A276" s="898"/>
      <c r="B276" s="865"/>
      <c r="C276" s="758"/>
      <c r="D276" s="859"/>
      <c r="E276" s="840"/>
      <c r="F276" s="841"/>
      <c r="G276" s="841"/>
      <c r="H276" s="841"/>
      <c r="I276" s="851"/>
      <c r="J276" s="853"/>
      <c r="K276" s="821"/>
      <c r="L276" s="855"/>
      <c r="M276" s="857"/>
      <c r="N276" s="367" t="s">
        <v>3</v>
      </c>
      <c r="O276" s="368" t="s">
        <v>93</v>
      </c>
      <c r="P276" s="369">
        <v>1</v>
      </c>
      <c r="Q276" s="842"/>
      <c r="R276" s="824"/>
      <c r="S276" s="849"/>
      <c r="T276" s="848"/>
      <c r="AA276" s="80" t="str">
        <f>AA275</f>
        <v>2-3-2</v>
      </c>
      <c r="AB276" s="317" t="str">
        <f t="shared" si="39"/>
        <v>نعم - يتم التفاعل</v>
      </c>
      <c r="AC276" s="317" t="str">
        <f t="shared" si="40"/>
        <v>2-3-2-نعم - يتم التفاعل</v>
      </c>
      <c r="AD276" s="319">
        <f t="shared" si="41"/>
        <v>1</v>
      </c>
      <c r="AE276" s="320">
        <f>IF(AD276="","",AD276*$R$273)</f>
        <v>10</v>
      </c>
    </row>
    <row r="277" spans="1:31" ht="37.5" thickBot="1" x14ac:dyDescent="0.55000000000000004">
      <c r="A277" s="12"/>
      <c r="B277" s="362"/>
      <c r="C277" s="12"/>
      <c r="D277" s="78"/>
      <c r="E277" s="63"/>
      <c r="F277" s="63"/>
      <c r="G277" s="63"/>
      <c r="H277" s="63"/>
      <c r="I277" s="72"/>
      <c r="J277" s="62"/>
      <c r="K277" s="72"/>
      <c r="L277" s="20"/>
      <c r="M277" s="21"/>
      <c r="N277" s="20"/>
      <c r="O277" s="21"/>
      <c r="P277" s="20"/>
      <c r="Q277" s="63"/>
      <c r="R277" s="66"/>
      <c r="S277" s="68"/>
      <c r="T277" s="68"/>
      <c r="AD277" s="319"/>
      <c r="AE277" s="320" t="str">
        <f t="shared" ref="AE277" si="51">IF(AD277="","",AD277*$R$267)</f>
        <v/>
      </c>
    </row>
    <row r="278" spans="1:31" ht="23.25" x14ac:dyDescent="0.5">
      <c r="A278" s="899" t="s">
        <v>448</v>
      </c>
      <c r="B278" s="870">
        <v>3</v>
      </c>
      <c r="C278" s="873" t="s">
        <v>44</v>
      </c>
      <c r="D278" s="860">
        <v>0.2</v>
      </c>
      <c r="E278" s="876">
        <v>4</v>
      </c>
      <c r="F278" s="876">
        <v>10</v>
      </c>
      <c r="G278" s="876" t="s">
        <v>95</v>
      </c>
      <c r="H278" s="876">
        <v>10</v>
      </c>
      <c r="I278" s="831">
        <v>1</v>
      </c>
      <c r="J278" s="832" t="s">
        <v>97</v>
      </c>
      <c r="K278" s="799">
        <v>10</v>
      </c>
      <c r="L278" s="834" t="s">
        <v>0</v>
      </c>
      <c r="M278" s="835" t="s">
        <v>99</v>
      </c>
      <c r="N278" s="55" t="s">
        <v>1</v>
      </c>
      <c r="O278" s="29" t="s">
        <v>23</v>
      </c>
      <c r="P278" s="55" t="s">
        <v>2</v>
      </c>
      <c r="Q278" s="837">
        <v>100</v>
      </c>
      <c r="R278" s="843">
        <f>Q278*K278*0.01</f>
        <v>10</v>
      </c>
      <c r="S278" s="858">
        <f>SUM(R278:R284)</f>
        <v>20</v>
      </c>
      <c r="T278" s="867">
        <f>SUM(S278:S284)</f>
        <v>20</v>
      </c>
      <c r="AA278" s="80" t="str">
        <f>$B$278&amp;"-"&amp;$E$278&amp;"-"&amp;I278</f>
        <v>3-4-1</v>
      </c>
      <c r="AB278" s="317" t="str">
        <f t="shared" si="39"/>
        <v>لا - لم يتم النشر.</v>
      </c>
      <c r="AC278" s="317" t="str">
        <f t="shared" si="40"/>
        <v>3-4-1-لا - لم يتم النشر.</v>
      </c>
      <c r="AD278" s="319">
        <f t="shared" si="41"/>
        <v>0</v>
      </c>
      <c r="AE278" s="320">
        <f>IF(AD278="","",AD278*$R$278)</f>
        <v>0</v>
      </c>
    </row>
    <row r="279" spans="1:31" ht="23.25" x14ac:dyDescent="0.5">
      <c r="A279" s="900"/>
      <c r="B279" s="871"/>
      <c r="C279" s="874"/>
      <c r="D279" s="861"/>
      <c r="E279" s="877"/>
      <c r="F279" s="877"/>
      <c r="G279" s="877"/>
      <c r="H279" s="877"/>
      <c r="I279" s="797"/>
      <c r="J279" s="798"/>
      <c r="K279" s="799"/>
      <c r="L279" s="800"/>
      <c r="M279" s="801"/>
      <c r="N279" s="800" t="s">
        <v>3</v>
      </c>
      <c r="O279" s="30" t="s">
        <v>101</v>
      </c>
      <c r="P279" s="207">
        <v>0.5</v>
      </c>
      <c r="Q279" s="818"/>
      <c r="R279" s="817"/>
      <c r="S279" s="810"/>
      <c r="T279" s="868"/>
      <c r="AA279" s="80" t="str">
        <f>AA278</f>
        <v>3-4-1</v>
      </c>
      <c r="AB279" s="317" t="str">
        <f t="shared" si="39"/>
        <v>نعم - تم النشر بشكل جزئي</v>
      </c>
      <c r="AC279" s="317" t="str">
        <f t="shared" si="40"/>
        <v>3-4-1-نعم - تم النشر بشكل جزئي</v>
      </c>
      <c r="AD279" s="319">
        <f t="shared" si="41"/>
        <v>0.5</v>
      </c>
      <c r="AE279" s="320">
        <f>IF(AD279="","",AD279*$R$278)</f>
        <v>5</v>
      </c>
    </row>
    <row r="280" spans="1:31" ht="23.25" x14ac:dyDescent="0.5">
      <c r="A280" s="900"/>
      <c r="B280" s="871"/>
      <c r="C280" s="874"/>
      <c r="D280" s="861"/>
      <c r="E280" s="877"/>
      <c r="F280" s="877"/>
      <c r="G280" s="877"/>
      <c r="H280" s="877"/>
      <c r="I280" s="797"/>
      <c r="J280" s="798"/>
      <c r="K280" s="799"/>
      <c r="L280" s="800"/>
      <c r="M280" s="801"/>
      <c r="N280" s="800"/>
      <c r="O280" s="30" t="s">
        <v>102</v>
      </c>
      <c r="P280" s="207">
        <v>1</v>
      </c>
      <c r="Q280" s="816"/>
      <c r="R280" s="817"/>
      <c r="S280" s="810"/>
      <c r="T280" s="868"/>
      <c r="AA280" s="80" t="str">
        <f>AA279</f>
        <v>3-4-1</v>
      </c>
      <c r="AB280" s="317" t="str">
        <f>N279&amp;" - "&amp;O280</f>
        <v xml:space="preserve">نعم - تم النشر بشكل متكامل </v>
      </c>
      <c r="AC280" s="317" t="str">
        <f t="shared" si="40"/>
        <v xml:space="preserve">3-4-1-نعم - تم النشر بشكل متكامل </v>
      </c>
      <c r="AD280" s="319">
        <f t="shared" si="41"/>
        <v>1</v>
      </c>
      <c r="AE280" s="320">
        <f>IF(AD280="","",AD280*$R$278)</f>
        <v>10</v>
      </c>
    </row>
    <row r="281" spans="1:31" ht="30.75" x14ac:dyDescent="0.5">
      <c r="A281" s="900"/>
      <c r="B281" s="871"/>
      <c r="C281" s="874"/>
      <c r="D281" s="861"/>
      <c r="E281" s="877"/>
      <c r="F281" s="75"/>
      <c r="G281" s="75"/>
      <c r="H281" s="75"/>
      <c r="I281" s="71"/>
      <c r="J281" s="70"/>
      <c r="K281" s="71"/>
      <c r="L281" s="15"/>
      <c r="M281" s="14"/>
      <c r="N281" s="15"/>
      <c r="O281" s="14"/>
      <c r="P281" s="15"/>
      <c r="Q281" s="205"/>
      <c r="R281" s="206"/>
      <c r="S281" s="810"/>
      <c r="T281" s="868"/>
      <c r="AD281" s="319"/>
      <c r="AE281" s="320"/>
    </row>
    <row r="282" spans="1:31" ht="23.25" x14ac:dyDescent="0.5">
      <c r="A282" s="900"/>
      <c r="B282" s="871"/>
      <c r="C282" s="874"/>
      <c r="D282" s="861"/>
      <c r="E282" s="877"/>
      <c r="F282" s="784">
        <v>10</v>
      </c>
      <c r="G282" s="784" t="s">
        <v>96</v>
      </c>
      <c r="H282" s="784">
        <v>10</v>
      </c>
      <c r="I282" s="797">
        <v>2</v>
      </c>
      <c r="J282" s="798" t="s">
        <v>98</v>
      </c>
      <c r="K282" s="799">
        <v>10</v>
      </c>
      <c r="L282" s="800" t="s">
        <v>0</v>
      </c>
      <c r="M282" s="801" t="s">
        <v>100</v>
      </c>
      <c r="N282" s="18" t="s">
        <v>1</v>
      </c>
      <c r="O282" s="30" t="s">
        <v>23</v>
      </c>
      <c r="P282" s="18" t="s">
        <v>2</v>
      </c>
      <c r="Q282" s="818">
        <v>100</v>
      </c>
      <c r="R282" s="817">
        <f>Q282*K282*0.01</f>
        <v>10</v>
      </c>
      <c r="S282" s="810"/>
      <c r="T282" s="868"/>
      <c r="AA282" s="80" t="str">
        <f>$B$278&amp;"-"&amp;$E$278&amp;"-"&amp;I282</f>
        <v>3-4-2</v>
      </c>
      <c r="AB282" s="317" t="str">
        <f t="shared" ref="AB282:AB294" si="52">N282&amp;" - "&amp;O282</f>
        <v>لا - لم يتم النشر.</v>
      </c>
      <c r="AC282" s="317" t="str">
        <f t="shared" ref="AC282:AC295" si="53">AA282&amp;"-"&amp;AB282</f>
        <v>3-4-2-لا - لم يتم النشر.</v>
      </c>
      <c r="AD282" s="319">
        <f t="shared" ref="AD282:AD295" si="54">IF(AB282="","",IF(AND(LEN(AB282)=36,RIGHT(AB282,6)="التالي"),"",IF(P282="صفر",0,P282)))</f>
        <v>0</v>
      </c>
      <c r="AE282" s="320">
        <f>IF(AD282="","",AD282*$R$282)</f>
        <v>0</v>
      </c>
    </row>
    <row r="283" spans="1:31" ht="23.25" x14ac:dyDescent="0.5">
      <c r="A283" s="900"/>
      <c r="B283" s="871"/>
      <c r="C283" s="874"/>
      <c r="D283" s="861"/>
      <c r="E283" s="877"/>
      <c r="F283" s="784"/>
      <c r="G283" s="784"/>
      <c r="H283" s="784"/>
      <c r="I283" s="797"/>
      <c r="J283" s="798"/>
      <c r="K283" s="799"/>
      <c r="L283" s="800"/>
      <c r="M283" s="801"/>
      <c r="N283" s="800" t="s">
        <v>3</v>
      </c>
      <c r="O283" s="30" t="s">
        <v>103</v>
      </c>
      <c r="P283" s="207">
        <v>0.5</v>
      </c>
      <c r="Q283" s="818"/>
      <c r="R283" s="817"/>
      <c r="S283" s="810"/>
      <c r="T283" s="868"/>
      <c r="AA283" s="80" t="str">
        <f>AA282</f>
        <v>3-4-2</v>
      </c>
      <c r="AB283" s="317" t="str">
        <f t="shared" si="52"/>
        <v>نعم - تم النشر ولكن بشكل جزئي</v>
      </c>
      <c r="AC283" s="317" t="str">
        <f t="shared" si="53"/>
        <v>3-4-2-نعم - تم النشر ولكن بشكل جزئي</v>
      </c>
      <c r="AD283" s="319">
        <f t="shared" si="54"/>
        <v>0.5</v>
      </c>
      <c r="AE283" s="320">
        <f>IF(AD283="","",AD283*$R$282)</f>
        <v>5</v>
      </c>
    </row>
    <row r="284" spans="1:31" ht="24" thickBot="1" x14ac:dyDescent="0.55000000000000004">
      <c r="A284" s="901"/>
      <c r="B284" s="872"/>
      <c r="C284" s="875"/>
      <c r="D284" s="862"/>
      <c r="E284" s="878"/>
      <c r="F284" s="786"/>
      <c r="G284" s="786"/>
      <c r="H284" s="786"/>
      <c r="I284" s="819"/>
      <c r="J284" s="820"/>
      <c r="K284" s="799"/>
      <c r="L284" s="822"/>
      <c r="M284" s="823"/>
      <c r="N284" s="822"/>
      <c r="O284" s="28" t="s">
        <v>102</v>
      </c>
      <c r="P284" s="207">
        <v>1</v>
      </c>
      <c r="Q284" s="842"/>
      <c r="R284" s="824"/>
      <c r="S284" s="812"/>
      <c r="T284" s="869"/>
      <c r="AA284" s="80" t="str">
        <f>AA283</f>
        <v>3-4-2</v>
      </c>
      <c r="AB284" s="317" t="str">
        <f>N283&amp;" - "&amp;O284</f>
        <v xml:space="preserve">نعم - تم النشر بشكل متكامل </v>
      </c>
      <c r="AC284" s="317" t="str">
        <f t="shared" si="53"/>
        <v xml:space="preserve">3-4-2-نعم - تم النشر بشكل متكامل </v>
      </c>
      <c r="AD284" s="319">
        <f t="shared" si="54"/>
        <v>1</v>
      </c>
      <c r="AE284" s="320">
        <f>IF(AD284="","",AD284*$R$282)</f>
        <v>10</v>
      </c>
    </row>
    <row r="285" spans="1:31" ht="37.5" thickBot="1" x14ac:dyDescent="0.55000000000000004">
      <c r="A285" s="13"/>
      <c r="B285" s="363"/>
      <c r="C285" s="12"/>
      <c r="D285" s="78"/>
      <c r="E285" s="63"/>
      <c r="F285" s="63"/>
      <c r="G285" s="63"/>
      <c r="H285" s="63"/>
      <c r="I285" s="72"/>
      <c r="J285" s="62"/>
      <c r="K285" s="72"/>
      <c r="L285" s="20"/>
      <c r="M285" s="21"/>
      <c r="N285" s="20"/>
      <c r="O285" s="21"/>
      <c r="P285" s="20"/>
      <c r="Q285" s="63"/>
      <c r="R285" s="66"/>
      <c r="S285" s="68"/>
      <c r="T285" s="68"/>
      <c r="AD285" s="319"/>
      <c r="AE285" s="320"/>
    </row>
    <row r="286" spans="1:31" ht="23.25" x14ac:dyDescent="0.5">
      <c r="A286" s="896" t="s">
        <v>449</v>
      </c>
      <c r="B286" s="879">
        <v>4</v>
      </c>
      <c r="C286" s="756" t="s">
        <v>104</v>
      </c>
      <c r="D286" s="888">
        <v>0.1</v>
      </c>
      <c r="E286" s="882">
        <v>5</v>
      </c>
      <c r="F286" s="885">
        <v>4</v>
      </c>
      <c r="G286" s="885" t="s">
        <v>106</v>
      </c>
      <c r="H286" s="885">
        <v>4</v>
      </c>
      <c r="I286" s="831">
        <v>1</v>
      </c>
      <c r="J286" s="832" t="s">
        <v>24</v>
      </c>
      <c r="K286" s="833">
        <v>4</v>
      </c>
      <c r="L286" s="834" t="s">
        <v>0</v>
      </c>
      <c r="M286" s="835" t="s">
        <v>105</v>
      </c>
      <c r="N286" s="31" t="s">
        <v>1</v>
      </c>
      <c r="O286" s="32" t="s">
        <v>15</v>
      </c>
      <c r="P286" s="31" t="s">
        <v>2</v>
      </c>
      <c r="Q286" s="837">
        <v>100</v>
      </c>
      <c r="R286" s="843">
        <f>Q286*K286*0.01</f>
        <v>4</v>
      </c>
      <c r="S286" s="844">
        <f>SUM(R286:R295)</f>
        <v>10</v>
      </c>
      <c r="T286" s="846">
        <f>SUM(S286:S295)</f>
        <v>10</v>
      </c>
      <c r="AA286" s="80" t="str">
        <f>$B$286&amp;"-"&amp;$E$286&amp;"-"&amp;I286</f>
        <v>4-5-1</v>
      </c>
      <c r="AB286" s="317" t="str">
        <f t="shared" si="52"/>
        <v>لا - لم يتم ذلك.</v>
      </c>
      <c r="AC286" s="317" t="str">
        <f t="shared" si="53"/>
        <v>4-5-1-لا - لم يتم ذلك.</v>
      </c>
      <c r="AD286" s="319">
        <f t="shared" si="54"/>
        <v>0</v>
      </c>
      <c r="AE286" s="320">
        <f>IF(AD286="","",AD286*$R$286)</f>
        <v>0</v>
      </c>
    </row>
    <row r="287" spans="1:31" ht="23.25" x14ac:dyDescent="0.5">
      <c r="A287" s="897"/>
      <c r="B287" s="880"/>
      <c r="C287" s="757"/>
      <c r="D287" s="889"/>
      <c r="E287" s="883"/>
      <c r="F287" s="886"/>
      <c r="G287" s="886"/>
      <c r="H287" s="886"/>
      <c r="I287" s="797"/>
      <c r="J287" s="798"/>
      <c r="K287" s="799"/>
      <c r="L287" s="800"/>
      <c r="M287" s="801"/>
      <c r="N287" s="800" t="s">
        <v>3</v>
      </c>
      <c r="O287" s="19" t="s">
        <v>107</v>
      </c>
      <c r="P287" s="207">
        <v>0.5</v>
      </c>
      <c r="Q287" s="816"/>
      <c r="R287" s="817"/>
      <c r="S287" s="845"/>
      <c r="T287" s="847"/>
      <c r="AA287" s="80" t="str">
        <f>AA286</f>
        <v>4-5-1</v>
      </c>
      <c r="AB287" s="317" t="str">
        <f t="shared" si="52"/>
        <v>نعم - تم توفره بشكل جزئي.</v>
      </c>
      <c r="AC287" s="317" t="str">
        <f t="shared" si="53"/>
        <v>4-5-1-نعم - تم توفره بشكل جزئي.</v>
      </c>
      <c r="AD287" s="319">
        <f t="shared" si="54"/>
        <v>0.5</v>
      </c>
      <c r="AE287" s="320">
        <f>IF(AD287="","",AD287*$R$286)</f>
        <v>2</v>
      </c>
    </row>
    <row r="288" spans="1:31" ht="23.25" x14ac:dyDescent="0.5">
      <c r="A288" s="897"/>
      <c r="B288" s="880"/>
      <c r="C288" s="757"/>
      <c r="D288" s="889"/>
      <c r="E288" s="883"/>
      <c r="F288" s="886"/>
      <c r="G288" s="886"/>
      <c r="H288" s="886"/>
      <c r="I288" s="797"/>
      <c r="J288" s="798"/>
      <c r="K288" s="799"/>
      <c r="L288" s="800"/>
      <c r="M288" s="801"/>
      <c r="N288" s="800"/>
      <c r="O288" s="19" t="s">
        <v>108</v>
      </c>
      <c r="P288" s="207">
        <v>1</v>
      </c>
      <c r="Q288" s="816"/>
      <c r="R288" s="817"/>
      <c r="S288" s="845"/>
      <c r="T288" s="847"/>
      <c r="AA288" s="80" t="str">
        <f>AA287</f>
        <v>4-5-1</v>
      </c>
      <c r="AB288" s="317" t="str">
        <f>N287&amp;" - "&amp;O288</f>
        <v>نعم - تم توفره بشكل متكامل.</v>
      </c>
      <c r="AC288" s="317" t="str">
        <f t="shared" si="53"/>
        <v>4-5-1-نعم - تم توفره بشكل متكامل.</v>
      </c>
      <c r="AD288" s="319">
        <f t="shared" si="54"/>
        <v>1</v>
      </c>
      <c r="AE288" s="320">
        <f>IF(AD288="","",AD288*$R$286)</f>
        <v>4</v>
      </c>
    </row>
    <row r="289" spans="1:31" ht="30.75" x14ac:dyDescent="0.5">
      <c r="A289" s="897"/>
      <c r="B289" s="880"/>
      <c r="C289" s="757"/>
      <c r="D289" s="889"/>
      <c r="E289" s="883"/>
      <c r="F289" s="886"/>
      <c r="G289" s="886"/>
      <c r="H289" s="886"/>
      <c r="I289" s="76"/>
      <c r="J289" s="77"/>
      <c r="K289" s="76"/>
      <c r="L289" s="10"/>
      <c r="M289" s="33"/>
      <c r="N289" s="10"/>
      <c r="O289" s="33"/>
      <c r="P289" s="10"/>
      <c r="Q289" s="216"/>
      <c r="R289" s="217"/>
      <c r="S289" s="845"/>
      <c r="T289" s="847"/>
      <c r="AD289" s="319"/>
      <c r="AE289" s="320"/>
    </row>
    <row r="290" spans="1:31" ht="23.25" x14ac:dyDescent="0.5">
      <c r="A290" s="897"/>
      <c r="B290" s="880"/>
      <c r="C290" s="757"/>
      <c r="D290" s="889"/>
      <c r="E290" s="883"/>
      <c r="F290" s="886">
        <v>2</v>
      </c>
      <c r="G290" s="886"/>
      <c r="H290" s="886">
        <v>2</v>
      </c>
      <c r="I290" s="797">
        <v>2</v>
      </c>
      <c r="J290" s="798" t="s">
        <v>109</v>
      </c>
      <c r="K290" s="799">
        <v>2</v>
      </c>
      <c r="L290" s="800" t="s">
        <v>0</v>
      </c>
      <c r="M290" s="801" t="s">
        <v>110</v>
      </c>
      <c r="N290" s="24" t="s">
        <v>1</v>
      </c>
      <c r="O290" s="25" t="s">
        <v>111</v>
      </c>
      <c r="P290" s="24" t="s">
        <v>2</v>
      </c>
      <c r="Q290" s="818">
        <v>100</v>
      </c>
      <c r="R290" s="817">
        <f>Q290*K290*0.01</f>
        <v>2</v>
      </c>
      <c r="S290" s="845"/>
      <c r="T290" s="847"/>
      <c r="AA290" s="80" t="str">
        <f t="shared" ref="AA290:AA293" si="55">$B$286&amp;"-"&amp;$E$286&amp;"-"&amp;I290</f>
        <v>4-5-2</v>
      </c>
      <c r="AB290" s="317" t="str">
        <f t="shared" si="52"/>
        <v xml:space="preserve">لا - لم يتم الاعتماد. </v>
      </c>
      <c r="AC290" s="317" t="str">
        <f t="shared" si="53"/>
        <v xml:space="preserve">4-5-2-لا - لم يتم الاعتماد. </v>
      </c>
      <c r="AD290" s="319">
        <f t="shared" si="54"/>
        <v>0</v>
      </c>
      <c r="AE290" s="320">
        <f>IF(AD290="","",AD290*$R$290)</f>
        <v>0</v>
      </c>
    </row>
    <row r="291" spans="1:31" ht="23.25" x14ac:dyDescent="0.5">
      <c r="A291" s="897"/>
      <c r="B291" s="880"/>
      <c r="C291" s="757"/>
      <c r="D291" s="889"/>
      <c r="E291" s="883"/>
      <c r="F291" s="886"/>
      <c r="G291" s="886"/>
      <c r="H291" s="886"/>
      <c r="I291" s="797"/>
      <c r="J291" s="798"/>
      <c r="K291" s="799"/>
      <c r="L291" s="800"/>
      <c r="M291" s="801"/>
      <c r="N291" s="18" t="s">
        <v>3</v>
      </c>
      <c r="O291" s="19" t="s">
        <v>112</v>
      </c>
      <c r="P291" s="207">
        <v>1</v>
      </c>
      <c r="Q291" s="816"/>
      <c r="R291" s="817"/>
      <c r="S291" s="845"/>
      <c r="T291" s="847"/>
      <c r="AA291" s="80" t="str">
        <f>AA290</f>
        <v>4-5-2</v>
      </c>
      <c r="AB291" s="317" t="str">
        <f t="shared" si="52"/>
        <v>نعم - تم الاعتماد.</v>
      </c>
      <c r="AC291" s="317" t="str">
        <f t="shared" si="53"/>
        <v>4-5-2-نعم - تم الاعتماد.</v>
      </c>
      <c r="AD291" s="319">
        <f t="shared" si="54"/>
        <v>1</v>
      </c>
      <c r="AE291" s="320">
        <f>IF(AD291="","",AD291*$R$290)</f>
        <v>2</v>
      </c>
    </row>
    <row r="292" spans="1:31" ht="30.75" x14ac:dyDescent="0.5">
      <c r="A292" s="897"/>
      <c r="B292" s="880"/>
      <c r="C292" s="757"/>
      <c r="D292" s="889"/>
      <c r="E292" s="883"/>
      <c r="F292" s="886"/>
      <c r="G292" s="886"/>
      <c r="H292" s="886"/>
      <c r="I292" s="69"/>
      <c r="J292" s="70"/>
      <c r="K292" s="71"/>
      <c r="L292" s="15"/>
      <c r="M292" s="14"/>
      <c r="N292" s="15"/>
      <c r="O292" s="14"/>
      <c r="P292" s="15"/>
      <c r="Q292" s="205"/>
      <c r="R292" s="206"/>
      <c r="S292" s="845"/>
      <c r="T292" s="847"/>
      <c r="AD292" s="319"/>
      <c r="AE292" s="320"/>
    </row>
    <row r="293" spans="1:31" ht="23.25" x14ac:dyDescent="0.5">
      <c r="A293" s="897"/>
      <c r="B293" s="880"/>
      <c r="C293" s="757"/>
      <c r="D293" s="889"/>
      <c r="E293" s="883"/>
      <c r="F293" s="886">
        <v>4</v>
      </c>
      <c r="G293" s="886"/>
      <c r="H293" s="886">
        <v>4</v>
      </c>
      <c r="I293" s="797">
        <v>3</v>
      </c>
      <c r="J293" s="798" t="s">
        <v>113</v>
      </c>
      <c r="K293" s="799">
        <v>4</v>
      </c>
      <c r="L293" s="800" t="s">
        <v>13</v>
      </c>
      <c r="M293" s="801" t="s">
        <v>114</v>
      </c>
      <c r="N293" s="24" t="s">
        <v>1</v>
      </c>
      <c r="O293" s="25" t="s">
        <v>25</v>
      </c>
      <c r="P293" s="24" t="s">
        <v>2</v>
      </c>
      <c r="Q293" s="818">
        <v>100</v>
      </c>
      <c r="R293" s="817">
        <f>Q293*K293*0.01</f>
        <v>4</v>
      </c>
      <c r="S293" s="845"/>
      <c r="T293" s="847"/>
      <c r="AA293" s="80" t="str">
        <f t="shared" si="55"/>
        <v>4-5-3</v>
      </c>
      <c r="AB293" s="317" t="str">
        <f t="shared" si="52"/>
        <v>لا - لا تتطابق.</v>
      </c>
      <c r="AC293" s="317" t="str">
        <f t="shared" si="53"/>
        <v>4-5-3-لا - لا تتطابق.</v>
      </c>
      <c r="AD293" s="319">
        <f t="shared" si="54"/>
        <v>0</v>
      </c>
      <c r="AE293" s="320">
        <f>IF(AD293="","",AD293*$R$293)</f>
        <v>0</v>
      </c>
    </row>
    <row r="294" spans="1:31" ht="23.25" x14ac:dyDescent="0.5">
      <c r="A294" s="897"/>
      <c r="B294" s="880"/>
      <c r="C294" s="757"/>
      <c r="D294" s="889"/>
      <c r="E294" s="883"/>
      <c r="F294" s="886"/>
      <c r="G294" s="886"/>
      <c r="H294" s="886"/>
      <c r="I294" s="797"/>
      <c r="J294" s="798"/>
      <c r="K294" s="799"/>
      <c r="L294" s="800"/>
      <c r="M294" s="801"/>
      <c r="N294" s="800" t="s">
        <v>3</v>
      </c>
      <c r="O294" s="19" t="s">
        <v>26</v>
      </c>
      <c r="P294" s="207">
        <v>0.5</v>
      </c>
      <c r="Q294" s="816"/>
      <c r="R294" s="817"/>
      <c r="S294" s="845"/>
      <c r="T294" s="847"/>
      <c r="AA294" s="80" t="str">
        <f>AA293</f>
        <v>4-5-3</v>
      </c>
      <c r="AB294" s="317" t="str">
        <f t="shared" si="52"/>
        <v>نعم - تتطابق بشكل جزئي.</v>
      </c>
      <c r="AC294" s="317" t="str">
        <f t="shared" si="53"/>
        <v>4-5-3-نعم - تتطابق بشكل جزئي.</v>
      </c>
      <c r="AD294" s="319">
        <f t="shared" si="54"/>
        <v>0.5</v>
      </c>
      <c r="AE294" s="320">
        <f>IF(AD294="","",AD294*$R$293)</f>
        <v>2</v>
      </c>
    </row>
    <row r="295" spans="1:31" ht="24" thickBot="1" x14ac:dyDescent="0.55000000000000004">
      <c r="A295" s="898"/>
      <c r="B295" s="881"/>
      <c r="C295" s="758"/>
      <c r="D295" s="890"/>
      <c r="E295" s="884"/>
      <c r="F295" s="887"/>
      <c r="G295" s="887"/>
      <c r="H295" s="887"/>
      <c r="I295" s="819"/>
      <c r="J295" s="820"/>
      <c r="K295" s="821"/>
      <c r="L295" s="822"/>
      <c r="M295" s="823"/>
      <c r="N295" s="822"/>
      <c r="O295" s="53" t="s">
        <v>27</v>
      </c>
      <c r="P295" s="208">
        <v>1</v>
      </c>
      <c r="Q295" s="842"/>
      <c r="R295" s="824"/>
      <c r="S295" s="849"/>
      <c r="T295" s="848"/>
      <c r="AA295" s="80" t="str">
        <f>AA294</f>
        <v>4-5-3</v>
      </c>
      <c r="AB295" s="317" t="str">
        <f>N294&amp;" - "&amp;O295</f>
        <v>نعم - تتطابق بشكل متكامل.</v>
      </c>
      <c r="AC295" s="317" t="str">
        <f t="shared" si="53"/>
        <v>4-5-3-نعم - تتطابق بشكل متكامل.</v>
      </c>
      <c r="AD295" s="319">
        <f t="shared" si="54"/>
        <v>1</v>
      </c>
      <c r="AE295" s="320">
        <f>IF(AD295="","",AD295*$R$293)</f>
        <v>4</v>
      </c>
    </row>
    <row r="296" spans="1:31" ht="37.5" thickBot="1" x14ac:dyDescent="0.55000000000000004">
      <c r="A296" s="218"/>
      <c r="B296" s="364"/>
      <c r="C296" s="219"/>
      <c r="D296" s="219"/>
      <c r="E296" s="219"/>
      <c r="F296" s="220"/>
      <c r="G296" s="219"/>
      <c r="H296" s="220"/>
      <c r="I296" s="221"/>
      <c r="J296" s="222"/>
      <c r="K296" s="220"/>
      <c r="L296" s="220"/>
      <c r="M296" s="222"/>
      <c r="N296" s="220"/>
      <c r="O296" s="222"/>
      <c r="P296" s="222"/>
      <c r="Q296" s="223"/>
      <c r="R296" s="223">
        <f>SUM(R224:R295)</f>
        <v>100</v>
      </c>
      <c r="S296" s="224"/>
      <c r="T296" s="225">
        <f>SUM(T224:T295)</f>
        <v>100</v>
      </c>
      <c r="AD296" s="319"/>
      <c r="AE296" s="320"/>
    </row>
  </sheetData>
  <sortState ref="AG2:AG69">
    <sortCondition descending="1" ref="AG2"/>
  </sortState>
  <mergeCells count="840">
    <mergeCell ref="B222:T222"/>
    <mergeCell ref="A1:T1"/>
    <mergeCell ref="A224:A246"/>
    <mergeCell ref="A248:A276"/>
    <mergeCell ref="A278:A284"/>
    <mergeCell ref="A286:A295"/>
    <mergeCell ref="F224:F246"/>
    <mergeCell ref="F248:F265"/>
    <mergeCell ref="F267:F271"/>
    <mergeCell ref="F273:F276"/>
    <mergeCell ref="F278:F280"/>
    <mergeCell ref="F282:F284"/>
    <mergeCell ref="F286:F295"/>
    <mergeCell ref="H267:H271"/>
    <mergeCell ref="H273:H276"/>
    <mergeCell ref="H224:H246"/>
    <mergeCell ref="H248:H265"/>
    <mergeCell ref="H286:H295"/>
    <mergeCell ref="H278:H280"/>
    <mergeCell ref="Q286:Q288"/>
    <mergeCell ref="R286:R288"/>
    <mergeCell ref="S286:S295"/>
    <mergeCell ref="T286:T295"/>
    <mergeCell ref="N287:N288"/>
    <mergeCell ref="Q290:Q291"/>
    <mergeCell ref="R290:R291"/>
    <mergeCell ref="I293:I295"/>
    <mergeCell ref="J293:J295"/>
    <mergeCell ref="K293:K295"/>
    <mergeCell ref="L293:L295"/>
    <mergeCell ref="M293:M295"/>
    <mergeCell ref="Q293:Q295"/>
    <mergeCell ref="R293:R295"/>
    <mergeCell ref="N294:N295"/>
    <mergeCell ref="B286:B295"/>
    <mergeCell ref="C286:C295"/>
    <mergeCell ref="E286:E295"/>
    <mergeCell ref="G286:G295"/>
    <mergeCell ref="I286:I288"/>
    <mergeCell ref="J286:J288"/>
    <mergeCell ref="K286:K288"/>
    <mergeCell ref="L286:L288"/>
    <mergeCell ref="M286:M288"/>
    <mergeCell ref="D286:D295"/>
    <mergeCell ref="I290:I291"/>
    <mergeCell ref="J290:J291"/>
    <mergeCell ref="K290:K291"/>
    <mergeCell ref="L290:L291"/>
    <mergeCell ref="M290:M291"/>
    <mergeCell ref="Q278:Q280"/>
    <mergeCell ref="R278:R280"/>
    <mergeCell ref="S278:S284"/>
    <mergeCell ref="D273:D276"/>
    <mergeCell ref="D278:D284"/>
    <mergeCell ref="B248:B276"/>
    <mergeCell ref="C248:C276"/>
    <mergeCell ref="R261:R265"/>
    <mergeCell ref="T278:T284"/>
    <mergeCell ref="N279:N280"/>
    <mergeCell ref="G282:G284"/>
    <mergeCell ref="I282:I284"/>
    <mergeCell ref="J282:J284"/>
    <mergeCell ref="K282:K284"/>
    <mergeCell ref="L282:L284"/>
    <mergeCell ref="M282:M284"/>
    <mergeCell ref="Q282:Q284"/>
    <mergeCell ref="R282:R284"/>
    <mergeCell ref="N283:N284"/>
    <mergeCell ref="H282:H284"/>
    <mergeCell ref="B278:B284"/>
    <mergeCell ref="C278:C284"/>
    <mergeCell ref="E278:E284"/>
    <mergeCell ref="G278:G280"/>
    <mergeCell ref="I278:I280"/>
    <mergeCell ref="J278:J280"/>
    <mergeCell ref="K278:K280"/>
    <mergeCell ref="L278:L280"/>
    <mergeCell ref="M278:M280"/>
    <mergeCell ref="G267:G271"/>
    <mergeCell ref="I267:I268"/>
    <mergeCell ref="J267:J268"/>
    <mergeCell ref="K267:K271"/>
    <mergeCell ref="L267:L268"/>
    <mergeCell ref="M267:M268"/>
    <mergeCell ref="S273:S276"/>
    <mergeCell ref="O274:P274"/>
    <mergeCell ref="I275:I276"/>
    <mergeCell ref="J275:J276"/>
    <mergeCell ref="L275:L276"/>
    <mergeCell ref="M275:M276"/>
    <mergeCell ref="I270:I271"/>
    <mergeCell ref="J270:J271"/>
    <mergeCell ref="L270:L271"/>
    <mergeCell ref="M270:M271"/>
    <mergeCell ref="R248:R253"/>
    <mergeCell ref="S248:S271"/>
    <mergeCell ref="O262:P262"/>
    <mergeCell ref="I264:I265"/>
    <mergeCell ref="J264:J265"/>
    <mergeCell ref="L264:L265"/>
    <mergeCell ref="M264:M265"/>
    <mergeCell ref="T248:T276"/>
    <mergeCell ref="O249:P249"/>
    <mergeCell ref="I251:I253"/>
    <mergeCell ref="J251:J253"/>
    <mergeCell ref="L251:L253"/>
    <mergeCell ref="M251:M253"/>
    <mergeCell ref="N252:N253"/>
    <mergeCell ref="I255:I256"/>
    <mergeCell ref="J255:J256"/>
    <mergeCell ref="K255:K256"/>
    <mergeCell ref="L255:L256"/>
    <mergeCell ref="M255:M256"/>
    <mergeCell ref="Q255:Q256"/>
    <mergeCell ref="R255:R256"/>
    <mergeCell ref="I258:I259"/>
    <mergeCell ref="J258:J259"/>
    <mergeCell ref="K258:K259"/>
    <mergeCell ref="R258:R259"/>
    <mergeCell ref="Q261:Q265"/>
    <mergeCell ref="Q267:Q271"/>
    <mergeCell ref="R267:R271"/>
    <mergeCell ref="E273:E276"/>
    <mergeCell ref="G273:G276"/>
    <mergeCell ref="I273:I274"/>
    <mergeCell ref="J273:J274"/>
    <mergeCell ref="K273:K276"/>
    <mergeCell ref="L273:L274"/>
    <mergeCell ref="M273:M274"/>
    <mergeCell ref="Q273:Q276"/>
    <mergeCell ref="R273:R276"/>
    <mergeCell ref="D248:D271"/>
    <mergeCell ref="Q242:Q243"/>
    <mergeCell ref="E248:E271"/>
    <mergeCell ref="G248:G265"/>
    <mergeCell ref="I248:I249"/>
    <mergeCell ref="J248:J249"/>
    <mergeCell ref="K248:K253"/>
    <mergeCell ref="L248:L249"/>
    <mergeCell ref="M248:M249"/>
    <mergeCell ref="I261:I262"/>
    <mergeCell ref="J261:J262"/>
    <mergeCell ref="K261:K265"/>
    <mergeCell ref="L261:L262"/>
    <mergeCell ref="M261:M262"/>
    <mergeCell ref="Q248:Q253"/>
    <mergeCell ref="O268:P268"/>
    <mergeCell ref="L258:L259"/>
    <mergeCell ref="M258:M259"/>
    <mergeCell ref="Q258:Q259"/>
    <mergeCell ref="R242:R243"/>
    <mergeCell ref="I245:I246"/>
    <mergeCell ref="J245:J246"/>
    <mergeCell ref="K245:K246"/>
    <mergeCell ref="L245:L246"/>
    <mergeCell ref="M245:M246"/>
    <mergeCell ref="Q245:Q246"/>
    <mergeCell ref="R245:R246"/>
    <mergeCell ref="R233:R234"/>
    <mergeCell ref="I236:I237"/>
    <mergeCell ref="J236:J237"/>
    <mergeCell ref="K236:K237"/>
    <mergeCell ref="L236:L237"/>
    <mergeCell ref="M236:M237"/>
    <mergeCell ref="Q236:Q237"/>
    <mergeCell ref="R236:R237"/>
    <mergeCell ref="I239:I240"/>
    <mergeCell ref="J239:J240"/>
    <mergeCell ref="K239:K240"/>
    <mergeCell ref="L239:L240"/>
    <mergeCell ref="M239:M240"/>
    <mergeCell ref="Q239:Q240"/>
    <mergeCell ref="R239:R240"/>
    <mergeCell ref="Q224:Q225"/>
    <mergeCell ref="R224:R225"/>
    <mergeCell ref="S224:S246"/>
    <mergeCell ref="T224:T246"/>
    <mergeCell ref="I227:I228"/>
    <mergeCell ref="J227:J228"/>
    <mergeCell ref="K227:K228"/>
    <mergeCell ref="L227:L228"/>
    <mergeCell ref="M227:M228"/>
    <mergeCell ref="Q227:Q228"/>
    <mergeCell ref="R227:R228"/>
    <mergeCell ref="I230:I231"/>
    <mergeCell ref="J230:J231"/>
    <mergeCell ref="K230:K231"/>
    <mergeCell ref="L230:L231"/>
    <mergeCell ref="M230:M231"/>
    <mergeCell ref="Q230:Q231"/>
    <mergeCell ref="R230:R231"/>
    <mergeCell ref="I233:I234"/>
    <mergeCell ref="J233:J234"/>
    <mergeCell ref="K233:K234"/>
    <mergeCell ref="L233:L234"/>
    <mergeCell ref="M233:M234"/>
    <mergeCell ref="Q233:Q234"/>
    <mergeCell ref="B224:B246"/>
    <mergeCell ref="C224:C246"/>
    <mergeCell ref="E224:E246"/>
    <mergeCell ref="G224:G246"/>
    <mergeCell ref="I224:I225"/>
    <mergeCell ref="J224:J225"/>
    <mergeCell ref="K224:K225"/>
    <mergeCell ref="L224:L225"/>
    <mergeCell ref="M224:M225"/>
    <mergeCell ref="I242:I243"/>
    <mergeCell ref="J242:J243"/>
    <mergeCell ref="K242:K243"/>
    <mergeCell ref="L242:L243"/>
    <mergeCell ref="M242:M243"/>
    <mergeCell ref="D224:D246"/>
    <mergeCell ref="A3:A31"/>
    <mergeCell ref="B3:B31"/>
    <mergeCell ref="C3:C31"/>
    <mergeCell ref="D3:D31"/>
    <mergeCell ref="E3:E7"/>
    <mergeCell ref="F3:F7"/>
    <mergeCell ref="E9:E22"/>
    <mergeCell ref="F9:F22"/>
    <mergeCell ref="G3:G7"/>
    <mergeCell ref="E24:E31"/>
    <mergeCell ref="F24:F31"/>
    <mergeCell ref="G24:G31"/>
    <mergeCell ref="H3:H7"/>
    <mergeCell ref="I3:I4"/>
    <mergeCell ref="J3:J4"/>
    <mergeCell ref="K3:K7"/>
    <mergeCell ref="L3:L4"/>
    <mergeCell ref="I6:I7"/>
    <mergeCell ref="J6:J7"/>
    <mergeCell ref="L6:L7"/>
    <mergeCell ref="M3:M4"/>
    <mergeCell ref="Q3:Q7"/>
    <mergeCell ref="R3:R7"/>
    <mergeCell ref="S3:S7"/>
    <mergeCell ref="T3:T31"/>
    <mergeCell ref="O4:P4"/>
    <mergeCell ref="M6:M7"/>
    <mergeCell ref="M9:M10"/>
    <mergeCell ref="Q9:Q13"/>
    <mergeCell ref="R9:R13"/>
    <mergeCell ref="R15:R16"/>
    <mergeCell ref="R24:R31"/>
    <mergeCell ref="S24:S31"/>
    <mergeCell ref="M30:M31"/>
    <mergeCell ref="I18:I19"/>
    <mergeCell ref="J18:J19"/>
    <mergeCell ref="K18:K19"/>
    <mergeCell ref="L18:L19"/>
    <mergeCell ref="M18:M19"/>
    <mergeCell ref="Q18:Q19"/>
    <mergeCell ref="R18:R19"/>
    <mergeCell ref="S9:S22"/>
    <mergeCell ref="O10:P10"/>
    <mergeCell ref="I12:I13"/>
    <mergeCell ref="J12:J13"/>
    <mergeCell ref="L12:L13"/>
    <mergeCell ref="M12:M13"/>
    <mergeCell ref="I15:I16"/>
    <mergeCell ref="J15:J16"/>
    <mergeCell ref="K15:K16"/>
    <mergeCell ref="L15:L16"/>
    <mergeCell ref="I9:I10"/>
    <mergeCell ref="J9:J10"/>
    <mergeCell ref="K9:K13"/>
    <mergeCell ref="L9:L10"/>
    <mergeCell ref="I21:I22"/>
    <mergeCell ref="J21:J22"/>
    <mergeCell ref="R21:R22"/>
    <mergeCell ref="H24:H31"/>
    <mergeCell ref="I24:I25"/>
    <mergeCell ref="J24:J25"/>
    <mergeCell ref="K24:K31"/>
    <mergeCell ref="M15:M16"/>
    <mergeCell ref="Q15:Q16"/>
    <mergeCell ref="G9:G22"/>
    <mergeCell ref="H9:H22"/>
    <mergeCell ref="K21:K22"/>
    <mergeCell ref="L21:L22"/>
    <mergeCell ref="L24:L25"/>
    <mergeCell ref="M24:M25"/>
    <mergeCell ref="Q24:Q31"/>
    <mergeCell ref="O25:P25"/>
    <mergeCell ref="M21:M22"/>
    <mergeCell ref="Q21:Q22"/>
    <mergeCell ref="I27:I28"/>
    <mergeCell ref="J27:J28"/>
    <mergeCell ref="L27:L28"/>
    <mergeCell ref="M27:M28"/>
    <mergeCell ref="O28:P28"/>
    <mergeCell ref="I30:I31"/>
    <mergeCell ref="J30:J31"/>
    <mergeCell ref="L30:L31"/>
    <mergeCell ref="A33:A103"/>
    <mergeCell ref="B33:B103"/>
    <mergeCell ref="C33:C103"/>
    <mergeCell ref="D33:D103"/>
    <mergeCell ref="E33:E40"/>
    <mergeCell ref="F33:F40"/>
    <mergeCell ref="E42:E44"/>
    <mergeCell ref="F42:F44"/>
    <mergeCell ref="E83:E87"/>
    <mergeCell ref="F83:F87"/>
    <mergeCell ref="E59:E81"/>
    <mergeCell ref="F59:F81"/>
    <mergeCell ref="E101:E103"/>
    <mergeCell ref="F101:F103"/>
    <mergeCell ref="S33:S40"/>
    <mergeCell ref="T33:T103"/>
    <mergeCell ref="I36:I37"/>
    <mergeCell ref="J36:J37"/>
    <mergeCell ref="K36:K40"/>
    <mergeCell ref="L36:L37"/>
    <mergeCell ref="M36:M37"/>
    <mergeCell ref="G33:G36"/>
    <mergeCell ref="H33:H40"/>
    <mergeCell ref="I33:I34"/>
    <mergeCell ref="J33:J34"/>
    <mergeCell ref="K33:K34"/>
    <mergeCell ref="L33:L34"/>
    <mergeCell ref="Q36:Q40"/>
    <mergeCell ref="R36:R40"/>
    <mergeCell ref="G37:G40"/>
    <mergeCell ref="O37:P37"/>
    <mergeCell ref="I39:I40"/>
    <mergeCell ref="J39:J40"/>
    <mergeCell ref="L39:L40"/>
    <mergeCell ref="M39:M40"/>
    <mergeCell ref="M33:M34"/>
    <mergeCell ref="Q33:Q34"/>
    <mergeCell ref="R33:R34"/>
    <mergeCell ref="M42:M44"/>
    <mergeCell ref="Q42:Q44"/>
    <mergeCell ref="R42:R44"/>
    <mergeCell ref="S42:S44"/>
    <mergeCell ref="N43:N44"/>
    <mergeCell ref="E46:E57"/>
    <mergeCell ref="F46:F57"/>
    <mergeCell ref="G46:G48"/>
    <mergeCell ref="H46:H57"/>
    <mergeCell ref="I46:I47"/>
    <mergeCell ref="G42:G44"/>
    <mergeCell ref="H42:H44"/>
    <mergeCell ref="I42:I44"/>
    <mergeCell ref="J42:J44"/>
    <mergeCell ref="K42:K44"/>
    <mergeCell ref="L42:L44"/>
    <mergeCell ref="M52:M54"/>
    <mergeCell ref="N53:N54"/>
    <mergeCell ref="G56:G57"/>
    <mergeCell ref="I56:I57"/>
    <mergeCell ref="J56:J57"/>
    <mergeCell ref="K56:K57"/>
    <mergeCell ref="L56:L57"/>
    <mergeCell ref="M56:M57"/>
    <mergeCell ref="S46:S57"/>
    <mergeCell ref="G49:G55"/>
    <mergeCell ref="I49:I50"/>
    <mergeCell ref="J49:J50"/>
    <mergeCell ref="K49:K54"/>
    <mergeCell ref="L49:L54"/>
    <mergeCell ref="M49:M50"/>
    <mergeCell ref="Q49:Q54"/>
    <mergeCell ref="R49:R54"/>
    <mergeCell ref="O50:P50"/>
    <mergeCell ref="J46:J47"/>
    <mergeCell ref="K46:K47"/>
    <mergeCell ref="L46:L47"/>
    <mergeCell ref="M46:M47"/>
    <mergeCell ref="Q46:Q47"/>
    <mergeCell ref="R46:R47"/>
    <mergeCell ref="G59:G70"/>
    <mergeCell ref="H59:H81"/>
    <mergeCell ref="I59:I60"/>
    <mergeCell ref="J59:J60"/>
    <mergeCell ref="K59:K60"/>
    <mergeCell ref="L59:L60"/>
    <mergeCell ref="I52:I54"/>
    <mergeCell ref="J52:J54"/>
    <mergeCell ref="S59:S81"/>
    <mergeCell ref="I62:I63"/>
    <mergeCell ref="J62:J63"/>
    <mergeCell ref="K62:K63"/>
    <mergeCell ref="L62:L63"/>
    <mergeCell ref="M62:M63"/>
    <mergeCell ref="Q62:Q63"/>
    <mergeCell ref="Q56:Q57"/>
    <mergeCell ref="R56:R57"/>
    <mergeCell ref="R62:R63"/>
    <mergeCell ref="I65:I66"/>
    <mergeCell ref="J65:J66"/>
    <mergeCell ref="K65:K66"/>
    <mergeCell ref="L65:L66"/>
    <mergeCell ref="M65:M66"/>
    <mergeCell ref="Q65:Q66"/>
    <mergeCell ref="R65:R66"/>
    <mergeCell ref="M59:M60"/>
    <mergeCell ref="Q59:Q60"/>
    <mergeCell ref="R59:R60"/>
    <mergeCell ref="J74:J75"/>
    <mergeCell ref="K74:K75"/>
    <mergeCell ref="L74:L75"/>
    <mergeCell ref="M74:M75"/>
    <mergeCell ref="Q74:Q75"/>
    <mergeCell ref="R74:R75"/>
    <mergeCell ref="R68:R69"/>
    <mergeCell ref="G71:G81"/>
    <mergeCell ref="I71:I72"/>
    <mergeCell ref="J71:J72"/>
    <mergeCell ref="K71:K72"/>
    <mergeCell ref="L71:L72"/>
    <mergeCell ref="M71:M72"/>
    <mergeCell ref="Q71:Q72"/>
    <mergeCell ref="R71:R72"/>
    <mergeCell ref="I74:I75"/>
    <mergeCell ref="R77:R78"/>
    <mergeCell ref="R80:R81"/>
    <mergeCell ref="I68:I69"/>
    <mergeCell ref="J68:J69"/>
    <mergeCell ref="K68:K69"/>
    <mergeCell ref="L68:L69"/>
    <mergeCell ref="M68:M69"/>
    <mergeCell ref="Q68:Q69"/>
    <mergeCell ref="G83:G87"/>
    <mergeCell ref="H83:H87"/>
    <mergeCell ref="I83:I84"/>
    <mergeCell ref="J83:J84"/>
    <mergeCell ref="K83:K87"/>
    <mergeCell ref="L83:L84"/>
    <mergeCell ref="I80:I81"/>
    <mergeCell ref="J80:J81"/>
    <mergeCell ref="K80:K81"/>
    <mergeCell ref="L80:L81"/>
    <mergeCell ref="M80:M81"/>
    <mergeCell ref="Q80:Q81"/>
    <mergeCell ref="I77:I78"/>
    <mergeCell ref="J77:J78"/>
    <mergeCell ref="K77:K78"/>
    <mergeCell ref="L77:L78"/>
    <mergeCell ref="M77:M78"/>
    <mergeCell ref="Q77:Q78"/>
    <mergeCell ref="M83:M84"/>
    <mergeCell ref="Q83:Q87"/>
    <mergeCell ref="R83:R87"/>
    <mergeCell ref="S83:S87"/>
    <mergeCell ref="O84:P84"/>
    <mergeCell ref="I86:I87"/>
    <mergeCell ref="J86:J87"/>
    <mergeCell ref="L86:L87"/>
    <mergeCell ref="M86:M87"/>
    <mergeCell ref="K89:K91"/>
    <mergeCell ref="L89:L91"/>
    <mergeCell ref="M89:M91"/>
    <mergeCell ref="Q89:Q91"/>
    <mergeCell ref="R89:R91"/>
    <mergeCell ref="S89:S91"/>
    <mergeCell ref="N90:N91"/>
    <mergeCell ref="E89:E91"/>
    <mergeCell ref="F89:F91"/>
    <mergeCell ref="G89:G91"/>
    <mergeCell ref="H89:H91"/>
    <mergeCell ref="I89:I91"/>
    <mergeCell ref="J89:J91"/>
    <mergeCell ref="Q93:Q95"/>
    <mergeCell ref="R93:R95"/>
    <mergeCell ref="S93:S99"/>
    <mergeCell ref="N94:N95"/>
    <mergeCell ref="K97:K99"/>
    <mergeCell ref="L97:L99"/>
    <mergeCell ref="M97:M99"/>
    <mergeCell ref="E93:E99"/>
    <mergeCell ref="F93:F99"/>
    <mergeCell ref="G93:G99"/>
    <mergeCell ref="H93:H99"/>
    <mergeCell ref="I93:I95"/>
    <mergeCell ref="J93:J95"/>
    <mergeCell ref="I97:I99"/>
    <mergeCell ref="J97:J99"/>
    <mergeCell ref="G101:G103"/>
    <mergeCell ref="H101:H103"/>
    <mergeCell ref="I101:I103"/>
    <mergeCell ref="J101:J103"/>
    <mergeCell ref="K101:K103"/>
    <mergeCell ref="K93:K95"/>
    <mergeCell ref="L93:L95"/>
    <mergeCell ref="L101:L103"/>
    <mergeCell ref="M101:M103"/>
    <mergeCell ref="M93:M95"/>
    <mergeCell ref="Q101:Q103"/>
    <mergeCell ref="R101:R103"/>
    <mergeCell ref="S101:S103"/>
    <mergeCell ref="N102:N103"/>
    <mergeCell ref="Q97:Q99"/>
    <mergeCell ref="R97:R99"/>
    <mergeCell ref="N98:N99"/>
    <mergeCell ref="R105:R106"/>
    <mergeCell ref="S105:S109"/>
    <mergeCell ref="Q105:Q106"/>
    <mergeCell ref="T105:T117"/>
    <mergeCell ref="G108:G109"/>
    <mergeCell ref="I108:I109"/>
    <mergeCell ref="J108:J109"/>
    <mergeCell ref="K108:K109"/>
    <mergeCell ref="L108:L109"/>
    <mergeCell ref="G105:G106"/>
    <mergeCell ref="H105:H109"/>
    <mergeCell ref="I105:I106"/>
    <mergeCell ref="J105:J106"/>
    <mergeCell ref="K105:K106"/>
    <mergeCell ref="L105:L106"/>
    <mergeCell ref="R111:R113"/>
    <mergeCell ref="S111:S113"/>
    <mergeCell ref="R108:R109"/>
    <mergeCell ref="M115:M117"/>
    <mergeCell ref="Q115:Q117"/>
    <mergeCell ref="R115:R117"/>
    <mergeCell ref="S115:S117"/>
    <mergeCell ref="N116:N117"/>
    <mergeCell ref="K115:K117"/>
    <mergeCell ref="L115:L117"/>
    <mergeCell ref="K111:K113"/>
    <mergeCell ref="M105:M106"/>
    <mergeCell ref="E105:E109"/>
    <mergeCell ref="F105:F109"/>
    <mergeCell ref="L111:L113"/>
    <mergeCell ref="M111:M113"/>
    <mergeCell ref="Q111:Q113"/>
    <mergeCell ref="N112:N113"/>
    <mergeCell ref="M108:M109"/>
    <mergeCell ref="Q108:Q109"/>
    <mergeCell ref="I129:I130"/>
    <mergeCell ref="J129:J130"/>
    <mergeCell ref="M125:M127"/>
    <mergeCell ref="Q125:Q127"/>
    <mergeCell ref="G132:G136"/>
    <mergeCell ref="E111:E113"/>
    <mergeCell ref="F111:F113"/>
    <mergeCell ref="G111:G113"/>
    <mergeCell ref="H111:H113"/>
    <mergeCell ref="I111:I113"/>
    <mergeCell ref="J111:J113"/>
    <mergeCell ref="G115:G117"/>
    <mergeCell ref="H115:H117"/>
    <mergeCell ref="I115:I117"/>
    <mergeCell ref="J115:J117"/>
    <mergeCell ref="H129:H142"/>
    <mergeCell ref="A105:A117"/>
    <mergeCell ref="B105:B117"/>
    <mergeCell ref="C105:C117"/>
    <mergeCell ref="D105:D117"/>
    <mergeCell ref="E115:E117"/>
    <mergeCell ref="F115:F117"/>
    <mergeCell ref="T119:T142"/>
    <mergeCell ref="O120:P120"/>
    <mergeCell ref="L122:L123"/>
    <mergeCell ref="M122:M123"/>
    <mergeCell ref="R132:R136"/>
    <mergeCell ref="F119:F127"/>
    <mergeCell ref="G119:G122"/>
    <mergeCell ref="H119:H127"/>
    <mergeCell ref="I119:I120"/>
    <mergeCell ref="J119:J120"/>
    <mergeCell ref="K119:K123"/>
    <mergeCell ref="I122:I123"/>
    <mergeCell ref="J122:J123"/>
    <mergeCell ref="G123:G127"/>
    <mergeCell ref="I125:I127"/>
    <mergeCell ref="J125:J127"/>
    <mergeCell ref="K125:K127"/>
    <mergeCell ref="L125:L127"/>
    <mergeCell ref="R125:R127"/>
    <mergeCell ref="N126:N127"/>
    <mergeCell ref="L119:L120"/>
    <mergeCell ref="I135:I136"/>
    <mergeCell ref="M119:M120"/>
    <mergeCell ref="Q119:Q123"/>
    <mergeCell ref="R119:R123"/>
    <mergeCell ref="K129:K130"/>
    <mergeCell ref="L129:L130"/>
    <mergeCell ref="M129:M130"/>
    <mergeCell ref="Q129:Q130"/>
    <mergeCell ref="R129:R130"/>
    <mergeCell ref="S129:S142"/>
    <mergeCell ref="K132:K136"/>
    <mergeCell ref="L132:L133"/>
    <mergeCell ref="M132:M133"/>
    <mergeCell ref="Q132:Q136"/>
    <mergeCell ref="O133:P133"/>
    <mergeCell ref="L135:L136"/>
    <mergeCell ref="M135:M136"/>
    <mergeCell ref="K138:K142"/>
    <mergeCell ref="L138:L139"/>
    <mergeCell ref="Q138:Q142"/>
    <mergeCell ref="R138:R142"/>
    <mergeCell ref="O139:P139"/>
    <mergeCell ref="S119:S127"/>
    <mergeCell ref="A144:A151"/>
    <mergeCell ref="B144:B151"/>
    <mergeCell ref="C144:C151"/>
    <mergeCell ref="D144:D151"/>
    <mergeCell ref="E144:E151"/>
    <mergeCell ref="F144:F151"/>
    <mergeCell ref="M138:M139"/>
    <mergeCell ref="I141:I142"/>
    <mergeCell ref="J141:J142"/>
    <mergeCell ref="L141:L142"/>
    <mergeCell ref="M141:M142"/>
    <mergeCell ref="E129:E142"/>
    <mergeCell ref="F129:F142"/>
    <mergeCell ref="G129:G130"/>
    <mergeCell ref="A119:A142"/>
    <mergeCell ref="B119:B142"/>
    <mergeCell ref="C119:C142"/>
    <mergeCell ref="D119:D142"/>
    <mergeCell ref="E119:E127"/>
    <mergeCell ref="J135:J136"/>
    <mergeCell ref="G138:G142"/>
    <mergeCell ref="I138:I139"/>
    <mergeCell ref="J138:J139"/>
    <mergeCell ref="I150:I151"/>
    <mergeCell ref="J150:J151"/>
    <mergeCell ref="K150:K151"/>
    <mergeCell ref="L150:L151"/>
    <mergeCell ref="M150:M151"/>
    <mergeCell ref="M144:M145"/>
    <mergeCell ref="Q144:Q148"/>
    <mergeCell ref="I132:I133"/>
    <mergeCell ref="J132:J133"/>
    <mergeCell ref="G156:G157"/>
    <mergeCell ref="I156:I157"/>
    <mergeCell ref="J156:J157"/>
    <mergeCell ref="L156:L157"/>
    <mergeCell ref="M153:M154"/>
    <mergeCell ref="Q153:Q157"/>
    <mergeCell ref="R153:R157"/>
    <mergeCell ref="S144:S151"/>
    <mergeCell ref="T144:T151"/>
    <mergeCell ref="O145:P145"/>
    <mergeCell ref="M147:M148"/>
    <mergeCell ref="Q150:Q151"/>
    <mergeCell ref="R150:R151"/>
    <mergeCell ref="G144:G145"/>
    <mergeCell ref="H144:H151"/>
    <mergeCell ref="I144:I145"/>
    <mergeCell ref="J144:J145"/>
    <mergeCell ref="K144:K148"/>
    <mergeCell ref="L144:L145"/>
    <mergeCell ref="G147:G148"/>
    <mergeCell ref="I147:I148"/>
    <mergeCell ref="J147:J148"/>
    <mergeCell ref="L147:L148"/>
    <mergeCell ref="G150:G151"/>
    <mergeCell ref="L159:L160"/>
    <mergeCell ref="M159:M160"/>
    <mergeCell ref="S165:S172"/>
    <mergeCell ref="G168:G172"/>
    <mergeCell ref="I168:I169"/>
    <mergeCell ref="J168:J169"/>
    <mergeCell ref="K168:K172"/>
    <mergeCell ref="R144:R148"/>
    <mergeCell ref="A153:A172"/>
    <mergeCell ref="B153:B172"/>
    <mergeCell ref="C153:C172"/>
    <mergeCell ref="D153:D172"/>
    <mergeCell ref="E153:E157"/>
    <mergeCell ref="F153:F157"/>
    <mergeCell ref="E159:E163"/>
    <mergeCell ref="F159:F163"/>
    <mergeCell ref="E165:E172"/>
    <mergeCell ref="F165:F172"/>
    <mergeCell ref="G153:G154"/>
    <mergeCell ref="H153:H157"/>
    <mergeCell ref="I153:I154"/>
    <mergeCell ref="J153:J154"/>
    <mergeCell ref="K153:K157"/>
    <mergeCell ref="L153:L154"/>
    <mergeCell ref="G165:G166"/>
    <mergeCell ref="H165:H172"/>
    <mergeCell ref="I165:I166"/>
    <mergeCell ref="J165:J166"/>
    <mergeCell ref="K165:K166"/>
    <mergeCell ref="L165:L166"/>
    <mergeCell ref="Q168:Q172"/>
    <mergeCell ref="S153:S157"/>
    <mergeCell ref="T153:T172"/>
    <mergeCell ref="O154:P154"/>
    <mergeCell ref="M156:M157"/>
    <mergeCell ref="Q159:Q163"/>
    <mergeCell ref="R159:R163"/>
    <mergeCell ref="S159:S163"/>
    <mergeCell ref="O160:P160"/>
    <mergeCell ref="G162:G163"/>
    <mergeCell ref="I162:I163"/>
    <mergeCell ref="J162:J163"/>
    <mergeCell ref="L162:L163"/>
    <mergeCell ref="M162:M163"/>
    <mergeCell ref="H159:H163"/>
    <mergeCell ref="I159:I160"/>
    <mergeCell ref="J159:J160"/>
    <mergeCell ref="K159:K163"/>
    <mergeCell ref="R168:R172"/>
    <mergeCell ref="O169:P169"/>
    <mergeCell ref="I171:I172"/>
    <mergeCell ref="J171:J172"/>
    <mergeCell ref="L171:L172"/>
    <mergeCell ref="M171:M172"/>
    <mergeCell ref="M165:M166"/>
    <mergeCell ref="Q165:Q166"/>
    <mergeCell ref="R165:R166"/>
    <mergeCell ref="L168:L169"/>
    <mergeCell ref="M168:M169"/>
    <mergeCell ref="M174:M175"/>
    <mergeCell ref="Q174:Q175"/>
    <mergeCell ref="R174:R175"/>
    <mergeCell ref="S174:S184"/>
    <mergeCell ref="T174:T196"/>
    <mergeCell ref="G177:G179"/>
    <mergeCell ref="H177:H179"/>
    <mergeCell ref="I177:I179"/>
    <mergeCell ref="J177:J179"/>
    <mergeCell ref="K177:K179"/>
    <mergeCell ref="G174:G175"/>
    <mergeCell ref="H174:H175"/>
    <mergeCell ref="I174:I175"/>
    <mergeCell ref="J174:J175"/>
    <mergeCell ref="K174:K175"/>
    <mergeCell ref="L174:L175"/>
    <mergeCell ref="R181:R184"/>
    <mergeCell ref="O182:P182"/>
    <mergeCell ref="I183:I184"/>
    <mergeCell ref="J183:J184"/>
    <mergeCell ref="L183:L184"/>
    <mergeCell ref="M183:M184"/>
    <mergeCell ref="L177:L179"/>
    <mergeCell ref="M177:M179"/>
    <mergeCell ref="Q177:Q179"/>
    <mergeCell ref="R177:R179"/>
    <mergeCell ref="N178:N179"/>
    <mergeCell ref="I181:I182"/>
    <mergeCell ref="J181:J182"/>
    <mergeCell ref="K181:K184"/>
    <mergeCell ref="G186:G189"/>
    <mergeCell ref="H186:H189"/>
    <mergeCell ref="I186:I187"/>
    <mergeCell ref="J186:J187"/>
    <mergeCell ref="K186:K189"/>
    <mergeCell ref="L186:L187"/>
    <mergeCell ref="L181:L182"/>
    <mergeCell ref="M181:M182"/>
    <mergeCell ref="Q181:Q184"/>
    <mergeCell ref="G181:G184"/>
    <mergeCell ref="H181:H184"/>
    <mergeCell ref="M186:M187"/>
    <mergeCell ref="Q186:Q189"/>
    <mergeCell ref="R186:R189"/>
    <mergeCell ref="S186:S189"/>
    <mergeCell ref="O187:P187"/>
    <mergeCell ref="I188:I189"/>
    <mergeCell ref="J188:J189"/>
    <mergeCell ref="L188:L189"/>
    <mergeCell ref="M188:M189"/>
    <mergeCell ref="M191:M192"/>
    <mergeCell ref="Q191:Q196"/>
    <mergeCell ref="R191:R196"/>
    <mergeCell ref="S191:S196"/>
    <mergeCell ref="O192:P192"/>
    <mergeCell ref="N195:N196"/>
    <mergeCell ref="G194:G196"/>
    <mergeCell ref="I194:I196"/>
    <mergeCell ref="J194:J196"/>
    <mergeCell ref="L194:L196"/>
    <mergeCell ref="M194:M196"/>
    <mergeCell ref="G191:G192"/>
    <mergeCell ref="H191:H196"/>
    <mergeCell ref="I191:I192"/>
    <mergeCell ref="J191:J192"/>
    <mergeCell ref="K191:K196"/>
    <mergeCell ref="L191:L192"/>
    <mergeCell ref="A198:A200"/>
    <mergeCell ref="B198:B200"/>
    <mergeCell ref="C198:C200"/>
    <mergeCell ref="D198:D200"/>
    <mergeCell ref="E198:E200"/>
    <mergeCell ref="F198:F200"/>
    <mergeCell ref="G198:G199"/>
    <mergeCell ref="H198:H200"/>
    <mergeCell ref="I198:I200"/>
    <mergeCell ref="A174:A196"/>
    <mergeCell ref="B174:B196"/>
    <mergeCell ref="C174:C196"/>
    <mergeCell ref="D174:D196"/>
    <mergeCell ref="E174:E184"/>
    <mergeCell ref="F174:F184"/>
    <mergeCell ref="E186:E189"/>
    <mergeCell ref="F186:F189"/>
    <mergeCell ref="E191:E196"/>
    <mergeCell ref="F191:F196"/>
    <mergeCell ref="S198:S200"/>
    <mergeCell ref="T198:T200"/>
    <mergeCell ref="N199:N200"/>
    <mergeCell ref="A202:A210"/>
    <mergeCell ref="B202:B210"/>
    <mergeCell ref="C202:C210"/>
    <mergeCell ref="D202:D210"/>
    <mergeCell ref="E202:E210"/>
    <mergeCell ref="F202:F210"/>
    <mergeCell ref="G202:G203"/>
    <mergeCell ref="J198:J200"/>
    <mergeCell ref="K198:K200"/>
    <mergeCell ref="L198:L200"/>
    <mergeCell ref="M198:M200"/>
    <mergeCell ref="Q198:Q200"/>
    <mergeCell ref="R198:R200"/>
    <mergeCell ref="S202:S210"/>
    <mergeCell ref="T202:T210"/>
    <mergeCell ref="O203:P203"/>
    <mergeCell ref="G205:G207"/>
    <mergeCell ref="I205:I207"/>
    <mergeCell ref="J205:J207"/>
    <mergeCell ref="L205:L207"/>
    <mergeCell ref="M205:M207"/>
    <mergeCell ref="G209:G210"/>
    <mergeCell ref="H209:H210"/>
    <mergeCell ref="I209:I210"/>
    <mergeCell ref="J209:J210"/>
    <mergeCell ref="K209:K210"/>
    <mergeCell ref="L209:L210"/>
    <mergeCell ref="M209:M210"/>
    <mergeCell ref="Q202:Q207"/>
    <mergeCell ref="R202:R207"/>
    <mergeCell ref="H202:H207"/>
    <mergeCell ref="I202:I203"/>
    <mergeCell ref="J202:J203"/>
    <mergeCell ref="K202:K207"/>
    <mergeCell ref="L202:L203"/>
    <mergeCell ref="M202:M203"/>
    <mergeCell ref="Q209:Q210"/>
    <mergeCell ref="R209:R210"/>
    <mergeCell ref="N206:N207"/>
  </mergeCells>
  <conditionalFormatting sqref="AF3:AF209">
    <cfRule type="iconSet" priority="8">
      <iconSet iconSet="3Symbols2" showValue="0">
        <cfvo type="percent" val="0"/>
        <cfvo type="percent" val="33"/>
        <cfvo type="percent" val="67"/>
      </iconSet>
    </cfRule>
  </conditionalFormatting>
  <conditionalFormatting sqref="AF210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Q3:Q7 Q9:Q13 Q15:Q16 Q18:Q19 Q21:Q22 Q24:Q31 Q33:Q34 Q36:Q40 Q42:Q44 Q46:Q47 Q49:Q54 Q56:Q57 Q59:Q60 Q62:Q63 Q65:Q66 Q68:Q69 Q71:Q72 Q74:Q75 Q77:Q78 Q80:Q81 Q83:Q87 Q89:Q91 Q93:Q95 Q97:Q99 Q101:Q103 Q105:Q106 Q108:Q109 Q111:Q113 Q115:Q117 Q119:Q123 Q125:Q127 Q129:Q130 Q132:Q136 Q138:Q142 Q144:Q148 Q150:Q151 Q153:Q157 Q159:Q163 Q165:Q166 Q168:Q172 Q174:Q175 Q177:Q179 Q181:Q184 Q186:Q189 Q191:Q196 Q198:Q200 Q202:Q207 Q209:Q210">
    <cfRule type="cellIs" dxfId="68" priority="1" operator="equal">
      <formula>100</formula>
    </cfRule>
    <cfRule type="cellIs" dxfId="67" priority="2" operator="equal">
      <formula>50</formula>
    </cfRule>
    <cfRule type="cellIs" dxfId="66" priority="4" operator="equal">
      <formula>0</formula>
    </cfRule>
  </conditionalFormatting>
  <dataValidations count="5">
    <dataValidation type="list" allowBlank="1" showInputMessage="1" showErrorMessage="1" sqref="Q42:Q44 Q49:Q54 Q89:Q91 Q93:Q95 Q97:Q99 Q101:Q103 Q111:Q113 Q115:Q117 Q125:Q127 Q177:Q179 Q191:Q196 Q198:Q200 Q202:Q207">
      <formula1>$W$4:$W$6</formula1>
    </dataValidation>
    <dataValidation type="list" allowBlank="1" showInputMessage="1" showErrorMessage="1" sqref="Q201 Q297:Q1048576 Q45:Q48 Q197 Q180:Q190 Q128:Q176 Q118:Q124 Q114 Q104:Q110 Q100 Q96 Q92 Q55:Q88 Q2:Q41 Q208:Q221">
      <formula1>$V$4:$V$5</formula1>
    </dataValidation>
    <dataValidation type="list" allowBlank="1" showInputMessage="1" showErrorMessage="1" sqref="Q223">
      <formula1>$S$3:$S$4</formula1>
    </dataValidation>
    <dataValidation type="list" allowBlank="1" showInputMessage="1" showErrorMessage="1" sqref="Q293:Q295 Q282:Q284 Q278:Q280 Q286:Q288 Q248:Q253">
      <formula1>$W$224:$W$226</formula1>
    </dataValidation>
    <dataValidation type="list" allowBlank="1" showInputMessage="1" showErrorMessage="1" sqref="Q224:Q225 Q227:Q228 Q230:Q231 Q233:Q234 Q236:Q237 Q239:Q240 Q242:Q243 Q272:Q277 Q266:Q267 Q245:Q246 Q281 Q285 Q254:Q261 Q289:Q292">
      <formula1>$V$224:$V$225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Q70"/>
  <sheetViews>
    <sheetView showGridLines="0" showRowColHeaders="0" rightToLeft="1" topLeftCell="A85" zoomScale="95" zoomScaleNormal="95" workbookViewId="0">
      <selection activeCell="O6" sqref="O6"/>
    </sheetView>
  </sheetViews>
  <sheetFormatPr defaultColWidth="9" defaultRowHeight="30.75" x14ac:dyDescent="0.5"/>
  <cols>
    <col min="1" max="1" width="11.42578125" style="226" customWidth="1"/>
    <col min="2" max="2" width="7.140625" style="226" customWidth="1"/>
    <col min="3" max="3" width="16.140625" style="226" customWidth="1"/>
    <col min="4" max="4" width="10" style="269" hidden="1" customWidth="1"/>
    <col min="5" max="5" width="11.7109375" style="270" customWidth="1"/>
    <col min="6" max="6" width="6.85546875" style="270" hidden="1" customWidth="1"/>
    <col min="7" max="7" width="44.85546875" style="273" customWidth="1"/>
    <col min="8" max="8" width="10.7109375" style="274" hidden="1" customWidth="1"/>
    <col min="9" max="9" width="55" style="274" hidden="1" customWidth="1"/>
    <col min="10" max="10" width="7.85546875" style="270" customWidth="1"/>
    <col min="11" max="11" width="40.42578125" style="226" customWidth="1"/>
    <col min="12" max="12" width="9.42578125" style="270" hidden="1" customWidth="1"/>
    <col min="13" max="13" width="17.42578125" style="226" customWidth="1"/>
    <col min="14" max="14" width="41.85546875" style="226" customWidth="1"/>
    <col min="15" max="15" width="24.42578125" style="271" customWidth="1"/>
    <col min="16" max="16" width="16.42578125" style="275" customWidth="1"/>
    <col min="17" max="17" width="9" style="272" customWidth="1"/>
    <col min="18" max="18" width="9" style="272"/>
    <col min="19" max="19" width="16.140625" style="248" customWidth="1"/>
    <col min="20" max="20" width="9" style="226"/>
    <col min="21" max="26" width="9" style="226" customWidth="1"/>
    <col min="27" max="27" width="34.42578125" style="226" customWidth="1"/>
    <col min="28" max="28" width="10.42578125" style="226" customWidth="1"/>
    <col min="29" max="29" width="99.140625" style="226" customWidth="1"/>
    <col min="30" max="32" width="17.42578125" style="226" customWidth="1"/>
    <col min="33" max="33" width="19.7109375" style="226" customWidth="1"/>
    <col min="34" max="51" width="9" style="226" customWidth="1"/>
    <col min="52" max="52" width="9" style="226" hidden="1" customWidth="1"/>
    <col min="53" max="53" width="40" style="266" hidden="1" customWidth="1"/>
    <col min="54" max="54" width="9.85546875" style="267" hidden="1" customWidth="1"/>
    <col min="55" max="55" width="120.42578125" style="267" hidden="1" customWidth="1"/>
    <col min="56" max="63" width="10.7109375" style="267" hidden="1" customWidth="1"/>
    <col min="64" max="64" width="10.7109375" style="226" hidden="1" customWidth="1"/>
    <col min="65" max="66" width="10.42578125" style="226" hidden="1" customWidth="1"/>
    <col min="67" max="67" width="11.7109375" style="226" hidden="1" customWidth="1"/>
    <col min="68" max="68" width="8.85546875" style="226" hidden="1" customWidth="1"/>
    <col min="69" max="69" width="9" style="226" hidden="1" customWidth="1"/>
    <col min="70" max="16384" width="9" style="226"/>
  </cols>
  <sheetData>
    <row r="1" spans="1:68" ht="30.75" customHeight="1" x14ac:dyDescent="0.5">
      <c r="A1" s="902" t="s">
        <v>32</v>
      </c>
      <c r="B1" s="902"/>
      <c r="C1" s="902"/>
      <c r="D1" s="479"/>
      <c r="E1" s="981" t="s">
        <v>558</v>
      </c>
      <c r="F1" s="981"/>
      <c r="G1" s="981"/>
      <c r="H1" s="981"/>
      <c r="I1" s="981"/>
      <c r="J1" s="981"/>
      <c r="K1" s="981"/>
      <c r="L1" s="981"/>
      <c r="M1" s="981"/>
      <c r="N1" s="903" t="s">
        <v>477</v>
      </c>
      <c r="O1" s="904">
        <f>IF(S70="الإجابات ناقصة","لم يكتمل التقييم",S70/100)</f>
        <v>1</v>
      </c>
      <c r="Q1" s="983"/>
      <c r="R1" s="983"/>
    </row>
    <row r="2" spans="1:68" ht="31.5" customHeight="1" thickBot="1" x14ac:dyDescent="0.55000000000000004">
      <c r="A2" s="902"/>
      <c r="B2" s="902"/>
      <c r="C2" s="902"/>
      <c r="D2" s="479"/>
      <c r="E2" s="982"/>
      <c r="F2" s="982"/>
      <c r="G2" s="982"/>
      <c r="H2" s="982"/>
      <c r="I2" s="982"/>
      <c r="J2" s="982"/>
      <c r="K2" s="982"/>
      <c r="L2" s="982"/>
      <c r="M2" s="982"/>
      <c r="N2" s="903"/>
      <c r="O2" s="904"/>
      <c r="Q2" s="984"/>
      <c r="R2" s="984"/>
    </row>
    <row r="3" spans="1:68" ht="70.5" thickBot="1" x14ac:dyDescent="0.55000000000000004">
      <c r="A3" s="506" t="s">
        <v>115</v>
      </c>
      <c r="B3" s="507" t="s">
        <v>116</v>
      </c>
      <c r="C3" s="507" t="s">
        <v>117</v>
      </c>
      <c r="D3" s="508" t="s">
        <v>118</v>
      </c>
      <c r="E3" s="509" t="s">
        <v>41</v>
      </c>
      <c r="F3" s="509" t="s">
        <v>5</v>
      </c>
      <c r="G3" s="507" t="s">
        <v>119</v>
      </c>
      <c r="H3" s="509" t="s">
        <v>370</v>
      </c>
      <c r="I3" s="509" t="s">
        <v>442</v>
      </c>
      <c r="J3" s="509" t="s">
        <v>10</v>
      </c>
      <c r="K3" s="507" t="s">
        <v>4</v>
      </c>
      <c r="L3" s="509" t="s">
        <v>29</v>
      </c>
      <c r="M3" s="507" t="s">
        <v>6</v>
      </c>
      <c r="N3" s="507" t="s">
        <v>7</v>
      </c>
      <c r="O3" s="510" t="s">
        <v>367</v>
      </c>
      <c r="P3" s="511" t="s">
        <v>373</v>
      </c>
      <c r="Q3" s="511" t="s">
        <v>368</v>
      </c>
      <c r="R3" s="511" t="s">
        <v>30</v>
      </c>
      <c r="S3" s="512" t="s">
        <v>31</v>
      </c>
      <c r="AA3" s="227" t="s">
        <v>372</v>
      </c>
      <c r="AB3" s="228" t="s">
        <v>12</v>
      </c>
      <c r="AC3" s="228" t="s">
        <v>462</v>
      </c>
      <c r="AD3" s="228" t="s">
        <v>464</v>
      </c>
      <c r="AE3" s="228" t="s">
        <v>463</v>
      </c>
      <c r="AF3" s="228" t="s">
        <v>466</v>
      </c>
      <c r="AG3" s="228" t="s">
        <v>465</v>
      </c>
      <c r="AH3" s="228" t="s">
        <v>479</v>
      </c>
      <c r="BA3" s="229" t="s">
        <v>115</v>
      </c>
      <c r="BB3" s="229" t="s">
        <v>116</v>
      </c>
      <c r="BC3" s="229" t="s">
        <v>462</v>
      </c>
      <c r="BD3" s="230" t="s">
        <v>41</v>
      </c>
      <c r="BE3" s="230" t="s">
        <v>451</v>
      </c>
      <c r="BF3" s="230" t="s">
        <v>452</v>
      </c>
      <c r="BG3" s="230" t="s">
        <v>453</v>
      </c>
      <c r="BH3" s="230" t="s">
        <v>454</v>
      </c>
      <c r="BI3" s="230" t="s">
        <v>455</v>
      </c>
      <c r="BJ3" s="230" t="s">
        <v>456</v>
      </c>
      <c r="BK3" s="230" t="s">
        <v>457</v>
      </c>
      <c r="BL3" s="230" t="s">
        <v>458</v>
      </c>
      <c r="BM3" s="230" t="s">
        <v>459</v>
      </c>
      <c r="BN3" s="230" t="s">
        <v>460</v>
      </c>
      <c r="BO3" s="231" t="s">
        <v>461</v>
      </c>
      <c r="BP3" s="230" t="s">
        <v>478</v>
      </c>
    </row>
    <row r="4" spans="1:68" ht="70.5" thickTop="1" x14ac:dyDescent="0.5">
      <c r="A4" s="916" t="s">
        <v>120</v>
      </c>
      <c r="B4" s="918">
        <v>1</v>
      </c>
      <c r="C4" s="920" t="s">
        <v>121</v>
      </c>
      <c r="D4" s="922">
        <v>0.13</v>
      </c>
      <c r="E4" s="924">
        <v>1</v>
      </c>
      <c r="F4" s="926">
        <v>6</v>
      </c>
      <c r="G4" s="914" t="s">
        <v>122</v>
      </c>
      <c r="H4" s="500" t="str">
        <f>$B$4&amp;"-"&amp;$E$4&amp;"-"&amp;J4</f>
        <v>1-1-1</v>
      </c>
      <c r="I4" s="501" t="str">
        <f>IF(O4="","",H4&amp;"-"&amp;O4)</f>
        <v>1-1-1-نعم - يتم الانتقال إلى السؤال التالي</v>
      </c>
      <c r="J4" s="500">
        <v>1</v>
      </c>
      <c r="K4" s="502" t="s">
        <v>510</v>
      </c>
      <c r="L4" s="964">
        <v>6</v>
      </c>
      <c r="M4" s="502" t="s">
        <v>124</v>
      </c>
      <c r="N4" s="503" t="s">
        <v>132</v>
      </c>
      <c r="O4" s="504" t="s">
        <v>538</v>
      </c>
      <c r="P4" s="505" t="str">
        <f>IF(I4="","",INDEX('النماذج (الأصل)'!$AC$3:$AE$210,MATCH(I4,'النماذج (الأصل)'!$AC$3:$AC$210,0),3))</f>
        <v>-</v>
      </c>
      <c r="Q4" s="969">
        <f>SUM(P4:P5)</f>
        <v>6</v>
      </c>
      <c r="R4" s="968">
        <f>Q4</f>
        <v>6</v>
      </c>
      <c r="S4" s="998">
        <f>IF(AH4&gt;0,"الإجابات ناقصة",SUM(R4:R13))</f>
        <v>13</v>
      </c>
      <c r="AA4" s="232" t="s">
        <v>120</v>
      </c>
      <c r="AB4" s="282">
        <v>1</v>
      </c>
      <c r="AC4" s="233" t="s">
        <v>121</v>
      </c>
      <c r="AD4" s="234">
        <f>SUMIFS('الامتثال والالتزام (للجهة)'!$BM$4:$BM$28,'الامتثال والالتزام (للجهة)'!$BA$4:$BA$28,AA4,'الامتثال والالتزام (للجهة)'!$BB$4:$BB$28,AB4)</f>
        <v>13</v>
      </c>
      <c r="AE4" s="234">
        <v>13</v>
      </c>
      <c r="AF4" s="276">
        <f>AD4-AE4</f>
        <v>0</v>
      </c>
      <c r="AG4" s="279">
        <f>AD4/AE4</f>
        <v>1</v>
      </c>
      <c r="AH4" s="282">
        <f>SUMIFS('الامتثال والالتزام (للجهة)'!$BP$4:$BP$28,'الامتثال والالتزام (للجهة)'!$BA$4:$BA$28,AA4,'الامتثال والالتزام (للجهة)'!$BB$4:$BB$28,AB4)</f>
        <v>0</v>
      </c>
      <c r="BA4" s="235" t="s">
        <v>120</v>
      </c>
      <c r="BB4" s="236">
        <v>1</v>
      </c>
      <c r="BC4" s="237" t="s">
        <v>121</v>
      </c>
      <c r="BD4" s="236">
        <v>1</v>
      </c>
      <c r="BE4" s="238" t="str">
        <f>P4</f>
        <v>-</v>
      </c>
      <c r="BF4" s="238">
        <f>P5</f>
        <v>6</v>
      </c>
      <c r="BG4" s="239"/>
      <c r="BH4" s="239"/>
      <c r="BI4" s="239"/>
      <c r="BJ4" s="239"/>
      <c r="BK4" s="239"/>
      <c r="BL4" s="239"/>
      <c r="BM4" s="240">
        <f>SUM('الامتثال والالتزام (للجهة)'!$BE4:$BL4)</f>
        <v>6</v>
      </c>
      <c r="BN4" s="240">
        <v>6</v>
      </c>
      <c r="BO4" s="241">
        <f>'الامتثال والالتزام (للجهة)'!$BM4/'الامتثال والالتزام (للجهة)'!$BN4</f>
        <v>1</v>
      </c>
      <c r="BP4" s="240">
        <f>COUNTBLANK(BE4:BF4)</f>
        <v>0</v>
      </c>
    </row>
    <row r="5" spans="1:68" ht="47.25" thickBot="1" x14ac:dyDescent="0.55000000000000004">
      <c r="A5" s="916"/>
      <c r="B5" s="918"/>
      <c r="C5" s="920"/>
      <c r="D5" s="922"/>
      <c r="E5" s="925"/>
      <c r="F5" s="927"/>
      <c r="G5" s="915"/>
      <c r="H5" s="380" t="str">
        <f>$B$4&amp;"-"&amp;$E$4&amp;"-"&amp;J5</f>
        <v>1-1-2</v>
      </c>
      <c r="I5" s="381" t="str">
        <f t="shared" ref="I5:I68" si="0">IF(O5="","",H5&amp;"-"&amp;O5)</f>
        <v>1-1-2-نعم - تشمل بشكل متكامل</v>
      </c>
      <c r="J5" s="380">
        <v>2</v>
      </c>
      <c r="K5" s="382" t="s">
        <v>127</v>
      </c>
      <c r="L5" s="957"/>
      <c r="M5" s="382" t="s">
        <v>124</v>
      </c>
      <c r="N5" s="383" t="s">
        <v>128</v>
      </c>
      <c r="O5" s="298" t="s">
        <v>539</v>
      </c>
      <c r="P5" s="390">
        <f>IF(AND(I5="",P4=0),0,IF(I5="","",IF(P4="-",INDEX('النماذج (الأصل)'!$AC$3:$AE$210,MATCH(I5,'النماذج (الأصل)'!$AC$3:$AC$210,0),3),0)))</f>
        <v>6</v>
      </c>
      <c r="Q5" s="970"/>
      <c r="R5" s="967"/>
      <c r="S5" s="987"/>
      <c r="AA5" s="242" t="s">
        <v>150</v>
      </c>
      <c r="AB5" s="283">
        <v>2</v>
      </c>
      <c r="AC5" s="243" t="s">
        <v>151</v>
      </c>
      <c r="AD5" s="244">
        <f>SUMIFS('الامتثال والالتزام (للجهة)'!$BM$4:$BM$28,'الامتثال والالتزام (للجهة)'!$BA$4:$BA$28,AA5,'الامتثال والالتزام (للجهة)'!$BB$4:$BB$28,AB5)</f>
        <v>35</v>
      </c>
      <c r="AE5" s="244">
        <v>35</v>
      </c>
      <c r="AF5" s="277">
        <f t="shared" ref="AF5:AF12" si="1">AD5-AE5</f>
        <v>0</v>
      </c>
      <c r="AG5" s="280">
        <f t="shared" ref="AG5:AG12" si="2">AD5/AE5</f>
        <v>1</v>
      </c>
      <c r="AH5" s="283">
        <f>SUMIFS('الامتثال والالتزام (للجهة)'!$BP$4:$BP$28,'الامتثال والالتزام (للجهة)'!$BA$4:$BA$28,AA5,'الامتثال والالتزام (للجهة)'!$BB$4:$BB$28,AB5)</f>
        <v>0</v>
      </c>
      <c r="BA5" s="245" t="s">
        <v>120</v>
      </c>
      <c r="BB5" s="246">
        <v>1</v>
      </c>
      <c r="BC5" s="247" t="s">
        <v>121</v>
      </c>
      <c r="BD5" s="246">
        <v>2</v>
      </c>
      <c r="BE5" s="248" t="str">
        <f>P6</f>
        <v>-</v>
      </c>
      <c r="BF5" s="248">
        <f>IF(BE5=0,0,P7)</f>
        <v>1</v>
      </c>
      <c r="BG5" s="248">
        <f>IF(BE5=0,0,P8)</f>
        <v>1</v>
      </c>
      <c r="BH5" s="248">
        <f>IF(BE5=0,0,P9)</f>
        <v>2</v>
      </c>
      <c r="BI5" s="248">
        <f>IF(BE5=0,0,P10)</f>
        <v>1</v>
      </c>
      <c r="BJ5" s="249"/>
      <c r="BK5" s="249"/>
      <c r="BL5" s="249"/>
      <c r="BM5" s="250">
        <f>SUM('الامتثال والالتزام (للجهة)'!$BE5:$BL5)</f>
        <v>5</v>
      </c>
      <c r="BN5" s="250">
        <v>5</v>
      </c>
      <c r="BO5" s="251">
        <f>'الامتثال والالتزام (للجهة)'!$BM5/'الامتثال والالتزام (للجهة)'!$BN5</f>
        <v>1</v>
      </c>
      <c r="BP5" s="250">
        <f>COUNTBLANK(BE5:BI5)</f>
        <v>0</v>
      </c>
    </row>
    <row r="6" spans="1:68" ht="46.5" x14ac:dyDescent="0.5">
      <c r="A6" s="916"/>
      <c r="B6" s="918"/>
      <c r="C6" s="920"/>
      <c r="D6" s="922"/>
      <c r="E6" s="928">
        <v>2</v>
      </c>
      <c r="F6" s="929">
        <v>5</v>
      </c>
      <c r="G6" s="913" t="s">
        <v>131</v>
      </c>
      <c r="H6" s="376" t="str">
        <f>$B$4&amp;"-"&amp;$E$6&amp;"-"&amp;J6</f>
        <v>1-2-1</v>
      </c>
      <c r="I6" s="377" t="str">
        <f t="shared" si="0"/>
        <v>1-2-1-نعم - يتم الانتقال إلى السؤال التالي</v>
      </c>
      <c r="J6" s="376">
        <v>1</v>
      </c>
      <c r="K6" s="378" t="s">
        <v>123</v>
      </c>
      <c r="L6" s="950">
        <v>1</v>
      </c>
      <c r="M6" s="378" t="s">
        <v>124</v>
      </c>
      <c r="N6" s="379" t="s">
        <v>132</v>
      </c>
      <c r="O6" s="296" t="s">
        <v>538</v>
      </c>
      <c r="P6" s="389" t="str">
        <f>IF(I6="","",INDEX('النماذج (الأصل)'!$AC$3:$AE$210,MATCH(I6,'النماذج (الأصل)'!$AC$3:$AC$210,0),3))</f>
        <v>-</v>
      </c>
      <c r="Q6" s="971">
        <f>IF(P6=0,0,SUM(P6:P7))</f>
        <v>1</v>
      </c>
      <c r="R6" s="966">
        <f>SUM(Q6:Q10)</f>
        <v>5</v>
      </c>
      <c r="S6" s="987"/>
      <c r="AA6" s="242" t="s">
        <v>228</v>
      </c>
      <c r="AB6" s="284">
        <v>3</v>
      </c>
      <c r="AC6" s="252" t="s">
        <v>229</v>
      </c>
      <c r="AD6" s="253">
        <f>SUMIFS('الامتثال والالتزام (للجهة)'!$BM$4:$BM$28,'الامتثال والالتزام (للجهة)'!$BA$4:$BA$28,AA6,'الامتثال والالتزام (للجهة)'!$BB$4:$BB$28,AB6)</f>
        <v>10</v>
      </c>
      <c r="AE6" s="253">
        <v>10</v>
      </c>
      <c r="AF6" s="278">
        <f t="shared" si="1"/>
        <v>0</v>
      </c>
      <c r="AG6" s="281">
        <f t="shared" si="2"/>
        <v>1</v>
      </c>
      <c r="AH6" s="284">
        <f>SUMIFS('الامتثال والالتزام (للجهة)'!$BP$4:$BP$28,'الامتثال والالتزام (للجهة)'!$BA$4:$BA$28,AA6,'الامتثال والالتزام (للجهة)'!$BB$4:$BB$28,AB6)</f>
        <v>0</v>
      </c>
      <c r="BA6" s="245" t="s">
        <v>120</v>
      </c>
      <c r="BB6" s="254">
        <v>1</v>
      </c>
      <c r="BC6" s="255" t="s">
        <v>121</v>
      </c>
      <c r="BD6" s="254">
        <v>3</v>
      </c>
      <c r="BE6" s="256" t="str">
        <f>P11</f>
        <v>-</v>
      </c>
      <c r="BF6" s="256" t="str">
        <f>IF(BE6=2,0,P12)</f>
        <v>-</v>
      </c>
      <c r="BG6" s="256">
        <f>IF(BF6=2,0,P13)</f>
        <v>2</v>
      </c>
      <c r="BH6" s="249"/>
      <c r="BI6" s="249"/>
      <c r="BJ6" s="249"/>
      <c r="BK6" s="249"/>
      <c r="BL6" s="249"/>
      <c r="BM6" s="257">
        <f>SUM('الامتثال والالتزام (للجهة)'!$BE6:$BL6)</f>
        <v>2</v>
      </c>
      <c r="BN6" s="257">
        <v>2</v>
      </c>
      <c r="BO6" s="258">
        <f>'الامتثال والالتزام (للجهة)'!$BM6/'الامتثال والالتزام (للجهة)'!$BN6</f>
        <v>1</v>
      </c>
      <c r="BP6" s="257">
        <f>COUNTBLANK(BE6:BG6)</f>
        <v>0</v>
      </c>
    </row>
    <row r="7" spans="1:68" ht="46.5" x14ac:dyDescent="0.5">
      <c r="A7" s="916"/>
      <c r="B7" s="918"/>
      <c r="C7" s="920"/>
      <c r="D7" s="922"/>
      <c r="E7" s="924"/>
      <c r="F7" s="926"/>
      <c r="G7" s="914"/>
      <c r="H7" s="384" t="str">
        <f t="shared" ref="H7:H10" si="3">$B$4&amp;"-"&amp;$E$6&amp;"-"&amp;J7</f>
        <v>1-2-2</v>
      </c>
      <c r="I7" s="385" t="str">
        <f t="shared" si="0"/>
        <v>1-2-2-نعم - تم تحديدها بشكل متكامل</v>
      </c>
      <c r="J7" s="384">
        <v>2</v>
      </c>
      <c r="K7" s="386" t="s">
        <v>133</v>
      </c>
      <c r="L7" s="964"/>
      <c r="M7" s="386" t="s">
        <v>124</v>
      </c>
      <c r="N7" s="387" t="s">
        <v>128</v>
      </c>
      <c r="O7" s="297" t="s">
        <v>540</v>
      </c>
      <c r="P7" s="391">
        <f>IF(AND(I7="",P6=0),0,IF(I7="","",IF(P6=0,0,IF(P6="-",INDEX('النماذج (الأصل)'!$AC$3:$AE$210,MATCH(I7,'النماذج (الأصل)'!$AC$3:$AC$210,0),3),0))))</f>
        <v>1</v>
      </c>
      <c r="Q7" s="969"/>
      <c r="R7" s="968"/>
      <c r="S7" s="987"/>
      <c r="AA7" s="242" t="s">
        <v>247</v>
      </c>
      <c r="AB7" s="283">
        <v>4</v>
      </c>
      <c r="AC7" s="243" t="s">
        <v>248</v>
      </c>
      <c r="AD7" s="244">
        <f>SUMIFS('الامتثال والالتزام (للجهة)'!$BM$4:$BM$28,'الامتثال والالتزام (للجهة)'!$BA$4:$BA$28,AA7,'الامتثال والالتزام (للجهة)'!$BB$4:$BB$28,AB7)</f>
        <v>6</v>
      </c>
      <c r="AE7" s="244">
        <v>6</v>
      </c>
      <c r="AF7" s="277">
        <f t="shared" si="1"/>
        <v>0</v>
      </c>
      <c r="AG7" s="280">
        <f t="shared" si="2"/>
        <v>1</v>
      </c>
      <c r="AH7" s="283">
        <f>SUMIFS('الامتثال والالتزام (للجهة)'!$BP$4:$BP$28,'الامتثال والالتزام (للجهة)'!$BA$4:$BA$28,AA7,'الامتثال والالتزام (للجهة)'!$BB$4:$BB$28,AB7)</f>
        <v>0</v>
      </c>
      <c r="BA7" s="245" t="s">
        <v>150</v>
      </c>
      <c r="BB7" s="246">
        <v>2</v>
      </c>
      <c r="BC7" s="247" t="s">
        <v>151</v>
      </c>
      <c r="BD7" s="246">
        <v>4</v>
      </c>
      <c r="BE7" s="248">
        <f>P14</f>
        <v>1</v>
      </c>
      <c r="BF7" s="248" t="str">
        <f>P15</f>
        <v>-</v>
      </c>
      <c r="BG7" s="248">
        <f>IF(BF7=1,0,P16)</f>
        <v>1</v>
      </c>
      <c r="BH7" s="249"/>
      <c r="BI7" s="249"/>
      <c r="BJ7" s="249"/>
      <c r="BK7" s="249"/>
      <c r="BL7" s="249"/>
      <c r="BM7" s="250">
        <f>SUM('الامتثال والالتزام (للجهة)'!$BE7:$BL7)</f>
        <v>2</v>
      </c>
      <c r="BN7" s="250">
        <v>2</v>
      </c>
      <c r="BO7" s="251">
        <f>'الامتثال والالتزام (للجهة)'!$BM7/'الامتثال والالتزام (للجهة)'!$BN7</f>
        <v>1</v>
      </c>
      <c r="BP7" s="250">
        <f>COUNTBLANK(BE7:BG7)</f>
        <v>0</v>
      </c>
    </row>
    <row r="8" spans="1:68" ht="46.5" x14ac:dyDescent="0.5">
      <c r="A8" s="916"/>
      <c r="B8" s="918"/>
      <c r="C8" s="920"/>
      <c r="D8" s="922"/>
      <c r="E8" s="924"/>
      <c r="F8" s="926"/>
      <c r="G8" s="914"/>
      <c r="H8" s="384" t="str">
        <f t="shared" si="3"/>
        <v>1-2-3</v>
      </c>
      <c r="I8" s="385" t="str">
        <f t="shared" si="0"/>
        <v>1-2-3-نعم - تم تحديدها بشكل متكامل</v>
      </c>
      <c r="J8" s="384">
        <v>3</v>
      </c>
      <c r="K8" s="386" t="s">
        <v>136</v>
      </c>
      <c r="L8" s="384">
        <v>1</v>
      </c>
      <c r="M8" s="386" t="s">
        <v>124</v>
      </c>
      <c r="N8" s="387" t="s">
        <v>128</v>
      </c>
      <c r="O8" s="297" t="s">
        <v>540</v>
      </c>
      <c r="P8" s="391">
        <f>IF(AND(I8="",P6=0),0,IF(I8="","",INDEX('النماذج (الأصل)'!$AC$3:$AE$210,MATCH(I8,'النماذج (الأصل)'!$AC$3:$AC$210,0),3)))</f>
        <v>1</v>
      </c>
      <c r="Q8" s="392">
        <f>IF(OR(P8="",P6=0),0,P8)</f>
        <v>1</v>
      </c>
      <c r="R8" s="968"/>
      <c r="S8" s="987"/>
      <c r="AA8" s="242" t="s">
        <v>276</v>
      </c>
      <c r="AB8" s="284">
        <v>5</v>
      </c>
      <c r="AC8" s="252" t="s">
        <v>277</v>
      </c>
      <c r="AD8" s="253">
        <f>SUMIFS('الامتثال والالتزام (للجهة)'!$BM$4:$BM$28,'الامتثال والالتزام (للجهة)'!$BA$4:$BA$28,AA8,'الامتثال والالتزام (للجهة)'!$BB$4:$BB$28,AB8)</f>
        <v>10</v>
      </c>
      <c r="AE8" s="253">
        <v>10</v>
      </c>
      <c r="AF8" s="278">
        <f t="shared" si="1"/>
        <v>0</v>
      </c>
      <c r="AG8" s="281">
        <f t="shared" si="2"/>
        <v>1</v>
      </c>
      <c r="AH8" s="284">
        <f>SUMIFS('الامتثال والالتزام (للجهة)'!$BP$4:$BP$28,'الامتثال والالتزام (للجهة)'!$BA$4:$BA$28,AA8,'الامتثال والالتزام (للجهة)'!$BB$4:$BB$28,AB8)</f>
        <v>0</v>
      </c>
      <c r="BA8" s="245" t="s">
        <v>150</v>
      </c>
      <c r="BB8" s="254">
        <v>2</v>
      </c>
      <c r="BC8" s="255" t="s">
        <v>151</v>
      </c>
      <c r="BD8" s="254">
        <v>5</v>
      </c>
      <c r="BE8" s="256">
        <f>P17</f>
        <v>1</v>
      </c>
      <c r="BF8" s="249"/>
      <c r="BG8" s="249"/>
      <c r="BH8" s="249"/>
      <c r="BI8" s="249"/>
      <c r="BJ8" s="249"/>
      <c r="BK8" s="249"/>
      <c r="BL8" s="249"/>
      <c r="BM8" s="257">
        <f>SUM('الامتثال والالتزام (للجهة)'!$BE8:$BL8)</f>
        <v>1</v>
      </c>
      <c r="BN8" s="257">
        <v>1</v>
      </c>
      <c r="BO8" s="258">
        <f>'الامتثال والالتزام (للجهة)'!$BM8/'الامتثال والالتزام (للجهة)'!$BN8</f>
        <v>1</v>
      </c>
      <c r="BP8" s="257">
        <f>COUNTBLANK(BE8)</f>
        <v>0</v>
      </c>
    </row>
    <row r="9" spans="1:68" ht="69.75" x14ac:dyDescent="0.5">
      <c r="A9" s="916"/>
      <c r="B9" s="918"/>
      <c r="C9" s="920"/>
      <c r="D9" s="922"/>
      <c r="E9" s="924"/>
      <c r="F9" s="926"/>
      <c r="G9" s="914"/>
      <c r="H9" s="384" t="str">
        <f t="shared" si="3"/>
        <v>1-2-4</v>
      </c>
      <c r="I9" s="385" t="str">
        <f t="shared" si="0"/>
        <v>1-2-4-نعم - تم تحديدها بشكل متكامل</v>
      </c>
      <c r="J9" s="384">
        <v>4</v>
      </c>
      <c r="K9" s="386" t="s">
        <v>488</v>
      </c>
      <c r="L9" s="384">
        <v>2</v>
      </c>
      <c r="M9" s="386" t="s">
        <v>124</v>
      </c>
      <c r="N9" s="387" t="s">
        <v>128</v>
      </c>
      <c r="O9" s="297" t="s">
        <v>540</v>
      </c>
      <c r="P9" s="391">
        <f>IF(AND(I9="",P6=0),0,IF(I9="","",INDEX('النماذج (الأصل)'!$AC$3:$AE$210,MATCH(I9,'النماذج (الأصل)'!$AC$3:$AC$210,0),3)))</f>
        <v>2</v>
      </c>
      <c r="Q9" s="392">
        <f>IF(OR(P6=0,P9=""),0,P9)</f>
        <v>2</v>
      </c>
      <c r="R9" s="968"/>
      <c r="S9" s="987"/>
      <c r="AA9" s="242" t="s">
        <v>288</v>
      </c>
      <c r="AB9" s="283">
        <v>6</v>
      </c>
      <c r="AC9" s="243" t="s">
        <v>289</v>
      </c>
      <c r="AD9" s="244">
        <f>SUMIFS('الامتثال والالتزام (للجهة)'!$BM$4:$BM$28,'الامتثال والالتزام (للجهة)'!$BA$4:$BA$28,AA9,'الامتثال والالتزام (للجهة)'!$BB$4:$BB$28,AB9)</f>
        <v>6</v>
      </c>
      <c r="AE9" s="244">
        <v>6</v>
      </c>
      <c r="AF9" s="277">
        <f t="shared" si="1"/>
        <v>0</v>
      </c>
      <c r="AG9" s="280">
        <f t="shared" si="2"/>
        <v>1</v>
      </c>
      <c r="AH9" s="283">
        <f>SUMIFS('الامتثال والالتزام (للجهة)'!$BP$4:$BP$28,'الامتثال والالتزام (للجهة)'!$BA$4:$BA$28,AA9,'الامتثال والالتزام (للجهة)'!$BB$4:$BB$28,AB9)</f>
        <v>0</v>
      </c>
      <c r="BA9" s="245" t="s">
        <v>150</v>
      </c>
      <c r="BB9" s="246">
        <v>2</v>
      </c>
      <c r="BC9" s="247" t="s">
        <v>151</v>
      </c>
      <c r="BD9" s="246">
        <v>6</v>
      </c>
      <c r="BE9" s="248">
        <f>P18</f>
        <v>2</v>
      </c>
      <c r="BF9" s="248" t="str">
        <f>P19</f>
        <v>-</v>
      </c>
      <c r="BG9" s="248">
        <f>IF(BF9=0,0,P20)</f>
        <v>1</v>
      </c>
      <c r="BH9" s="248">
        <f>P21</f>
        <v>1</v>
      </c>
      <c r="BI9" s="249"/>
      <c r="BJ9" s="249"/>
      <c r="BK9" s="249"/>
      <c r="BL9" s="249"/>
      <c r="BM9" s="250">
        <f>SUM('الامتثال والالتزام (للجهة)'!$BE9:$BL9)</f>
        <v>4</v>
      </c>
      <c r="BN9" s="250">
        <v>4</v>
      </c>
      <c r="BO9" s="251">
        <f>'الامتثال والالتزام (للجهة)'!$BM9/'الامتثال والالتزام (للجهة)'!$BN9</f>
        <v>1</v>
      </c>
      <c r="BP9" s="250">
        <f>COUNTBLANK(BE9:BH9)</f>
        <v>0</v>
      </c>
    </row>
    <row r="10" spans="1:68" ht="47.25" thickBot="1" x14ac:dyDescent="0.55000000000000004">
      <c r="A10" s="916"/>
      <c r="B10" s="918"/>
      <c r="C10" s="920"/>
      <c r="D10" s="922"/>
      <c r="E10" s="925"/>
      <c r="F10" s="927"/>
      <c r="G10" s="915"/>
      <c r="H10" s="380" t="str">
        <f t="shared" si="3"/>
        <v>1-2-5</v>
      </c>
      <c r="I10" s="381" t="str">
        <f t="shared" si="0"/>
        <v>1-2-5-نعم - تم تحديدها بشكل متكامل</v>
      </c>
      <c r="J10" s="380">
        <v>5</v>
      </c>
      <c r="K10" s="382" t="s">
        <v>490</v>
      </c>
      <c r="L10" s="380">
        <v>1</v>
      </c>
      <c r="M10" s="382" t="s">
        <v>124</v>
      </c>
      <c r="N10" s="383" t="s">
        <v>128</v>
      </c>
      <c r="O10" s="298" t="s">
        <v>540</v>
      </c>
      <c r="P10" s="390">
        <f>IF(AND(I10="",P6=0),0,IF(I10="","",INDEX('النماذج (الأصل)'!$AC$3:$AE$210,MATCH(I10,'النماذج (الأصل)'!$AC$3:$AC$210,0),3)))</f>
        <v>1</v>
      </c>
      <c r="Q10" s="393">
        <f>IF(OR(P6=0,P10=""),0,P10)</f>
        <v>1</v>
      </c>
      <c r="R10" s="967"/>
      <c r="S10" s="987"/>
      <c r="AA10" s="242" t="s">
        <v>33</v>
      </c>
      <c r="AB10" s="284">
        <v>7</v>
      </c>
      <c r="AC10" s="252" t="s">
        <v>314</v>
      </c>
      <c r="AD10" s="253">
        <f>SUMIFS('الامتثال والالتزام (للجهة)'!$BM$4:$BM$28,'الامتثال والالتزام (للجهة)'!$BA$4:$BA$28,AA10,'الامتثال والالتزام (للجهة)'!$BB$4:$BB$28,AB10)</f>
        <v>12</v>
      </c>
      <c r="AE10" s="253">
        <v>12</v>
      </c>
      <c r="AF10" s="278">
        <f t="shared" si="1"/>
        <v>0</v>
      </c>
      <c r="AG10" s="281">
        <f t="shared" si="2"/>
        <v>1</v>
      </c>
      <c r="AH10" s="284">
        <f>SUMIFS('الامتثال والالتزام (للجهة)'!$BP$4:$BP$28,'الامتثال والالتزام (للجهة)'!$BA$4:$BA$28,AA10,'الامتثال والالتزام (للجهة)'!$BB$4:$BB$28,AB10)</f>
        <v>0</v>
      </c>
      <c r="BA10" s="245" t="s">
        <v>150</v>
      </c>
      <c r="BB10" s="254">
        <v>2</v>
      </c>
      <c r="BC10" s="255" t="s">
        <v>151</v>
      </c>
      <c r="BD10" s="254">
        <v>7</v>
      </c>
      <c r="BE10" s="256">
        <f>P22</f>
        <v>2</v>
      </c>
      <c r="BF10" s="256">
        <f>P23</f>
        <v>2</v>
      </c>
      <c r="BG10" s="256">
        <f>P24</f>
        <v>2</v>
      </c>
      <c r="BH10" s="256">
        <f>P25</f>
        <v>2</v>
      </c>
      <c r="BI10" s="256">
        <f>P26</f>
        <v>2</v>
      </c>
      <c r="BJ10" s="256">
        <f>P27</f>
        <v>2</v>
      </c>
      <c r="BK10" s="256">
        <f>P28</f>
        <v>2</v>
      </c>
      <c r="BL10" s="256">
        <f>P29</f>
        <v>2</v>
      </c>
      <c r="BM10" s="257">
        <f>SUM('الامتثال والالتزام (للجهة)'!$BE10:$BL10)</f>
        <v>16</v>
      </c>
      <c r="BN10" s="257">
        <v>16</v>
      </c>
      <c r="BO10" s="258">
        <f>'الامتثال والالتزام (للجهة)'!$BM10/'الامتثال والالتزام (للجهة)'!$BN10</f>
        <v>1</v>
      </c>
      <c r="BP10" s="257">
        <f>COUNTBLANK(BE10:BN10)</f>
        <v>0</v>
      </c>
    </row>
    <row r="11" spans="1:68" ht="69.75" x14ac:dyDescent="0.5">
      <c r="A11" s="916"/>
      <c r="B11" s="918"/>
      <c r="C11" s="920"/>
      <c r="D11" s="922"/>
      <c r="E11" s="910">
        <v>3</v>
      </c>
      <c r="F11" s="907">
        <v>2</v>
      </c>
      <c r="G11" s="913" t="s">
        <v>138</v>
      </c>
      <c r="H11" s="376" t="str">
        <f>$B$4&amp;"-"&amp;$E$11&amp;"-"&amp;J11</f>
        <v>1-3-1</v>
      </c>
      <c r="I11" s="377" t="str">
        <f t="shared" si="0"/>
        <v>1-3-1-نعم - يتم الانتقال إلى السؤال التالي</v>
      </c>
      <c r="J11" s="538">
        <v>1</v>
      </c>
      <c r="K11" s="378" t="s">
        <v>139</v>
      </c>
      <c r="L11" s="948">
        <v>2</v>
      </c>
      <c r="M11" s="378" t="s">
        <v>140</v>
      </c>
      <c r="N11" s="388" t="s">
        <v>141</v>
      </c>
      <c r="O11" s="299" t="s">
        <v>538</v>
      </c>
      <c r="P11" s="394" t="str">
        <f>IF(I11="","",INDEX('النماذج (الأصل)'!$AC$3:$AE$210,MATCH(I11,'النماذج (الأصل)'!$AC$3:$AC$210,0),3))</f>
        <v>-</v>
      </c>
      <c r="Q11" s="972">
        <f>IF(P11=2,2,SUM(P11:P13))</f>
        <v>2</v>
      </c>
      <c r="R11" s="966">
        <f>SUM(Q11:Q13)</f>
        <v>2</v>
      </c>
      <c r="S11" s="987"/>
      <c r="AA11" s="242" t="s">
        <v>34</v>
      </c>
      <c r="AB11" s="283">
        <v>8</v>
      </c>
      <c r="AC11" s="243" t="s">
        <v>343</v>
      </c>
      <c r="AD11" s="244">
        <f>SUMIFS('الامتثال والالتزام (للجهة)'!$BM$4:$BM$28,'الامتثال والالتزام (للجهة)'!$BA$4:$BA$28,AA11,'الامتثال والالتزام (للجهة)'!$BB$4:$BB$28,AB11)</f>
        <v>4</v>
      </c>
      <c r="AE11" s="244">
        <v>4</v>
      </c>
      <c r="AF11" s="277">
        <f t="shared" si="1"/>
        <v>0</v>
      </c>
      <c r="AG11" s="280">
        <f t="shared" si="2"/>
        <v>1</v>
      </c>
      <c r="AH11" s="283">
        <f>SUMIFS('الامتثال والالتزام (للجهة)'!$BP$4:$BP$28,'الامتثال والالتزام (للجهة)'!$BA$4:$BA$28,AA11,'الامتثال والالتزام (للجهة)'!$BB$4:$BB$28,AB11)</f>
        <v>0</v>
      </c>
      <c r="BA11" s="245" t="s">
        <v>150</v>
      </c>
      <c r="BB11" s="246">
        <v>2</v>
      </c>
      <c r="BC11" s="247" t="s">
        <v>151</v>
      </c>
      <c r="BD11" s="246">
        <v>8</v>
      </c>
      <c r="BE11" s="248" t="str">
        <f>P30</f>
        <v>-</v>
      </c>
      <c r="BF11" s="248">
        <f>IF(BE11=0,0,P31)</f>
        <v>4</v>
      </c>
      <c r="BG11" s="249"/>
      <c r="BH11" s="249"/>
      <c r="BI11" s="249"/>
      <c r="BJ11" s="249"/>
      <c r="BK11" s="249"/>
      <c r="BL11" s="249"/>
      <c r="BM11" s="250">
        <f>SUM('الامتثال والالتزام (للجهة)'!$BE11:$BL11)</f>
        <v>4</v>
      </c>
      <c r="BN11" s="250">
        <v>4</v>
      </c>
      <c r="BO11" s="251">
        <f>'الامتثال والالتزام (للجهة)'!$BM11/'الامتثال والالتزام (للجهة)'!$BN11</f>
        <v>1</v>
      </c>
      <c r="BP11" s="250">
        <f>COUNTBLANK(BE11:BF11)</f>
        <v>0</v>
      </c>
    </row>
    <row r="12" spans="1:68" ht="46.5" x14ac:dyDescent="0.5">
      <c r="A12" s="916"/>
      <c r="B12" s="918"/>
      <c r="C12" s="920"/>
      <c r="D12" s="922"/>
      <c r="E12" s="911"/>
      <c r="F12" s="908"/>
      <c r="G12" s="914"/>
      <c r="H12" s="384" t="str">
        <f>$B$4&amp;"-"&amp;$E$11&amp;"-"&amp;J12</f>
        <v>1-3-2</v>
      </c>
      <c r="I12" s="385" t="str">
        <f t="shared" si="0"/>
        <v>1-3-2-نعم - يتم الانتقال إلى السؤال التالي</v>
      </c>
      <c r="J12" s="384">
        <v>2</v>
      </c>
      <c r="K12" s="386" t="s">
        <v>143</v>
      </c>
      <c r="L12" s="959"/>
      <c r="M12" s="386" t="s">
        <v>140</v>
      </c>
      <c r="N12" s="387" t="s">
        <v>144</v>
      </c>
      <c r="O12" s="297" t="s">
        <v>538</v>
      </c>
      <c r="P12" s="391" t="str">
        <f>IF(AND(I12="",P11=2),0,IF(I12="","",IF(P11=2,0,IF(P11="-",INDEX('النماذج (الأصل)'!$AC$3:$AE$210,MATCH(I12,'النماذج (الأصل)'!$AC$3:$AC$210,0),3),0))))</f>
        <v>-</v>
      </c>
      <c r="Q12" s="973"/>
      <c r="R12" s="968"/>
      <c r="S12" s="987"/>
      <c r="AA12" s="242" t="s">
        <v>350</v>
      </c>
      <c r="AB12" s="284">
        <v>9</v>
      </c>
      <c r="AC12" s="252" t="s">
        <v>351</v>
      </c>
      <c r="AD12" s="253">
        <f>SUMIFS('الامتثال والالتزام (للجهة)'!$BM$4:$BM$28,'الامتثال والالتزام (للجهة)'!$BA$4:$BA$28,AA12,'الامتثال والالتزام (للجهة)'!$BB$4:$BB$28,AB12)</f>
        <v>4</v>
      </c>
      <c r="AE12" s="253">
        <v>4</v>
      </c>
      <c r="AF12" s="278">
        <f t="shared" si="1"/>
        <v>0</v>
      </c>
      <c r="AG12" s="281">
        <f t="shared" si="2"/>
        <v>1</v>
      </c>
      <c r="AH12" s="284">
        <f>SUMIFS('الامتثال والالتزام (للجهة)'!$BP$4:$BP$28,'الامتثال والالتزام (للجهة)'!$BA$4:$BA$28,AA12,'الامتثال والالتزام (للجهة)'!$BB$4:$BB$28,AB12)</f>
        <v>0</v>
      </c>
      <c r="BA12" s="245" t="s">
        <v>150</v>
      </c>
      <c r="BB12" s="254">
        <v>2</v>
      </c>
      <c r="BC12" s="255" t="s">
        <v>151</v>
      </c>
      <c r="BD12" s="254">
        <v>9</v>
      </c>
      <c r="BE12" s="256">
        <f>P32</f>
        <v>3</v>
      </c>
      <c r="BF12" s="249"/>
      <c r="BG12" s="249"/>
      <c r="BH12" s="249"/>
      <c r="BI12" s="249"/>
      <c r="BJ12" s="249"/>
      <c r="BK12" s="249"/>
      <c r="BL12" s="249"/>
      <c r="BM12" s="257">
        <f>SUM('الامتثال والالتزام (للجهة)'!$BE12:$BL12)</f>
        <v>3</v>
      </c>
      <c r="BN12" s="257">
        <v>3</v>
      </c>
      <c r="BO12" s="258">
        <f>'الامتثال والالتزام (للجهة)'!$BM12/'الامتثال والالتزام (للجهة)'!$BN12</f>
        <v>1</v>
      </c>
      <c r="BP12" s="257">
        <f>COUNTBLANK(BE12)</f>
        <v>0</v>
      </c>
    </row>
    <row r="13" spans="1:68" ht="47.25" thickBot="1" x14ac:dyDescent="0.55000000000000004">
      <c r="A13" s="917"/>
      <c r="B13" s="919"/>
      <c r="C13" s="921"/>
      <c r="D13" s="923"/>
      <c r="E13" s="912"/>
      <c r="F13" s="909"/>
      <c r="G13" s="915"/>
      <c r="H13" s="380" t="str">
        <f>$B$4&amp;"-"&amp;$E$11&amp;"-"&amp;J13</f>
        <v>1-3-3</v>
      </c>
      <c r="I13" s="381" t="str">
        <f t="shared" si="0"/>
        <v>1-3-3-نعم - توجد موافقة</v>
      </c>
      <c r="J13" s="380">
        <v>3</v>
      </c>
      <c r="K13" s="382" t="s">
        <v>511</v>
      </c>
      <c r="L13" s="949"/>
      <c r="M13" s="382" t="s">
        <v>140</v>
      </c>
      <c r="N13" s="383" t="s">
        <v>512</v>
      </c>
      <c r="O13" s="298" t="s">
        <v>559</v>
      </c>
      <c r="P13" s="390">
        <f>IF(AND(I13="",P11=2),0,IF(I13="","",IF(P12="-",INDEX('النماذج (الأصل)'!$AC$3:$AE$210,MATCH(I13,'النماذج (الأصل)'!$AC$3:$AC$210,0),3),0)))</f>
        <v>2</v>
      </c>
      <c r="Q13" s="974"/>
      <c r="R13" s="967"/>
      <c r="S13" s="999"/>
      <c r="BA13" s="245" t="s">
        <v>150</v>
      </c>
      <c r="BB13" s="246">
        <v>2</v>
      </c>
      <c r="BC13" s="247" t="s">
        <v>151</v>
      </c>
      <c r="BD13" s="246">
        <v>10</v>
      </c>
      <c r="BE13" s="248">
        <f>P33</f>
        <v>1</v>
      </c>
      <c r="BF13" s="248">
        <f>P34</f>
        <v>1</v>
      </c>
      <c r="BG13" s="249"/>
      <c r="BH13" s="249"/>
      <c r="BI13" s="249"/>
      <c r="BJ13" s="249"/>
      <c r="BK13" s="249"/>
      <c r="BL13" s="249"/>
      <c r="BM13" s="250">
        <f>SUM('الامتثال والالتزام (للجهة)'!$BE13:$BL13)</f>
        <v>2</v>
      </c>
      <c r="BN13" s="250">
        <v>2</v>
      </c>
      <c r="BO13" s="251">
        <f>'الامتثال والالتزام (للجهة)'!$BM13/'الامتثال والالتزام (للجهة)'!$BN13</f>
        <v>1</v>
      </c>
      <c r="BP13" s="250">
        <f>COUNTBLANK(BE13:BF13)</f>
        <v>0</v>
      </c>
    </row>
    <row r="14" spans="1:68" ht="47.25" thickTop="1" x14ac:dyDescent="0.5">
      <c r="A14" s="960" t="s">
        <v>150</v>
      </c>
      <c r="B14" s="963">
        <v>2</v>
      </c>
      <c r="C14" s="930" t="s">
        <v>151</v>
      </c>
      <c r="D14" s="931">
        <v>0.35</v>
      </c>
      <c r="E14" s="910">
        <v>4</v>
      </c>
      <c r="F14" s="907">
        <v>2</v>
      </c>
      <c r="G14" s="913" t="s">
        <v>152</v>
      </c>
      <c r="H14" s="376" t="str">
        <f>$B$14&amp;"-"&amp;$E$14&amp;"-"&amp;J14</f>
        <v>2-4-1</v>
      </c>
      <c r="I14" s="377" t="str">
        <f t="shared" si="0"/>
        <v>2-4-1-نعم - يتكون المجلس من ثلاثة أعضاء أو أكثر .</v>
      </c>
      <c r="J14" s="376">
        <v>1</v>
      </c>
      <c r="K14" s="378" t="s">
        <v>153</v>
      </c>
      <c r="L14" s="376">
        <v>1</v>
      </c>
      <c r="M14" s="378" t="s">
        <v>124</v>
      </c>
      <c r="N14" s="379" t="s">
        <v>154</v>
      </c>
      <c r="O14" s="296" t="s">
        <v>541</v>
      </c>
      <c r="P14" s="389">
        <f>IF(I14="","",INDEX('النماذج (الأصل)'!$AC$3:$AE$210,MATCH(I14,'النماذج (الأصل)'!$AC$3:$AC$210,0),3))</f>
        <v>1</v>
      </c>
      <c r="Q14" s="461">
        <f>IF(P14="",0,P14)</f>
        <v>1</v>
      </c>
      <c r="R14" s="966">
        <f>SUM(Q14:Q16)</f>
        <v>2</v>
      </c>
      <c r="S14" s="986">
        <f>IF(AH5&gt;0,"الإجابات ناقصة",SUM(R14:R35))</f>
        <v>35</v>
      </c>
      <c r="BA14" s="245" t="s">
        <v>150</v>
      </c>
      <c r="BB14" s="254">
        <v>2</v>
      </c>
      <c r="BC14" s="255" t="s">
        <v>151</v>
      </c>
      <c r="BD14" s="254">
        <v>11</v>
      </c>
      <c r="BE14" s="256">
        <f>P35</f>
        <v>3</v>
      </c>
      <c r="BF14" s="249"/>
      <c r="BG14" s="249"/>
      <c r="BH14" s="249"/>
      <c r="BI14" s="249"/>
      <c r="BJ14" s="249"/>
      <c r="BK14" s="249"/>
      <c r="BL14" s="249"/>
      <c r="BM14" s="257">
        <f>SUM('الامتثال والالتزام (للجهة)'!$BE14:$BL14)</f>
        <v>3</v>
      </c>
      <c r="BN14" s="257">
        <v>3</v>
      </c>
      <c r="BO14" s="258">
        <f>'الامتثال والالتزام (للجهة)'!$BM14/'الامتثال والالتزام (للجهة)'!$BN14</f>
        <v>1</v>
      </c>
      <c r="BP14" s="257">
        <f>COUNTBLANK(BE14)</f>
        <v>0</v>
      </c>
    </row>
    <row r="15" spans="1:68" ht="69.75" x14ac:dyDescent="0.5">
      <c r="A15" s="961"/>
      <c r="B15" s="918"/>
      <c r="C15" s="920"/>
      <c r="D15" s="922"/>
      <c r="E15" s="911"/>
      <c r="F15" s="908"/>
      <c r="G15" s="914"/>
      <c r="H15" s="384" t="str">
        <f t="shared" ref="H15:H16" si="4">$B$14&amp;"-"&amp;$E$14&amp;"-"&amp;J15</f>
        <v>2-4-2</v>
      </c>
      <c r="I15" s="385" t="str">
        <f t="shared" si="0"/>
        <v>2-4-2-نعم - يتم الانتقال إلى السؤال التالي</v>
      </c>
      <c r="J15" s="384">
        <v>2</v>
      </c>
      <c r="K15" s="386" t="s">
        <v>157</v>
      </c>
      <c r="L15" s="959">
        <v>1</v>
      </c>
      <c r="M15" s="386" t="s">
        <v>158</v>
      </c>
      <c r="N15" s="395" t="s">
        <v>513</v>
      </c>
      <c r="O15" s="300" t="s">
        <v>538</v>
      </c>
      <c r="P15" s="462" t="str">
        <f>IF(I15="","",INDEX('النماذج (الأصل)'!$AC$3:$AE$210,MATCH(I15,'النماذج (الأصل)'!$AC$3:$AC$210,0),3))</f>
        <v>-</v>
      </c>
      <c r="Q15" s="973">
        <f>IF(P15=1,1,SUM(P15:P16))</f>
        <v>1</v>
      </c>
      <c r="R15" s="968"/>
      <c r="S15" s="987"/>
      <c r="AC15" s="267" t="str">
        <f>"مواطن التحسين "&amp;" - "&amp; E1</f>
        <v>مواطن التحسين  - مؤسسة ……….</v>
      </c>
      <c r="BA15" s="245" t="s">
        <v>228</v>
      </c>
      <c r="BB15" s="246">
        <v>3</v>
      </c>
      <c r="BC15" s="247" t="s">
        <v>229</v>
      </c>
      <c r="BD15" s="246">
        <v>12</v>
      </c>
      <c r="BE15" s="248">
        <f>P36</f>
        <v>3</v>
      </c>
      <c r="BF15" s="248">
        <f>IF(BE15=0,0,P37)</f>
        <v>1</v>
      </c>
      <c r="BG15" s="249"/>
      <c r="BH15" s="249"/>
      <c r="BI15" s="249"/>
      <c r="BJ15" s="249"/>
      <c r="BK15" s="249"/>
      <c r="BL15" s="249"/>
      <c r="BM15" s="250">
        <f>SUM('الامتثال والالتزام (للجهة)'!$BE15:$BL15)</f>
        <v>4</v>
      </c>
      <c r="BN15" s="250">
        <v>4</v>
      </c>
      <c r="BO15" s="251">
        <f>'الامتثال والالتزام (للجهة)'!$BM15/'الامتثال والالتزام (للجهة)'!$BN15</f>
        <v>1</v>
      </c>
      <c r="BP15" s="250">
        <f>COUNTBLANK(BE15:BF15)</f>
        <v>0</v>
      </c>
    </row>
    <row r="16" spans="1:68" ht="47.25" thickBot="1" x14ac:dyDescent="0.55000000000000004">
      <c r="A16" s="961"/>
      <c r="B16" s="918"/>
      <c r="C16" s="920"/>
      <c r="D16" s="922"/>
      <c r="E16" s="912"/>
      <c r="F16" s="909"/>
      <c r="G16" s="915"/>
      <c r="H16" s="380" t="str">
        <f t="shared" si="4"/>
        <v>2-4-3</v>
      </c>
      <c r="I16" s="381" t="str">
        <f t="shared" si="0"/>
        <v>2-4-3-نعم - تم إبلاغ الوزارة</v>
      </c>
      <c r="J16" s="380">
        <v>3</v>
      </c>
      <c r="K16" s="382" t="s">
        <v>514</v>
      </c>
      <c r="L16" s="949"/>
      <c r="M16" s="382" t="s">
        <v>158</v>
      </c>
      <c r="N16" s="383" t="s">
        <v>515</v>
      </c>
      <c r="O16" s="298" t="s">
        <v>560</v>
      </c>
      <c r="P16" s="390">
        <f>IF(AND(I16="",P15=1),0,IF(I16="","",IF(P15="-",INDEX('النماذج (الأصل)'!$AC$3:$AE$210,MATCH(I16,'النماذج (الأصل)'!$AC$3:$AC$210,0),3),0)))</f>
        <v>1</v>
      </c>
      <c r="Q16" s="974"/>
      <c r="R16" s="967"/>
      <c r="S16" s="987"/>
      <c r="BA16" s="245" t="s">
        <v>228</v>
      </c>
      <c r="BB16" s="254">
        <v>3</v>
      </c>
      <c r="BC16" s="255" t="s">
        <v>229</v>
      </c>
      <c r="BD16" s="254">
        <v>13</v>
      </c>
      <c r="BE16" s="256">
        <f>P38</f>
        <v>2</v>
      </c>
      <c r="BF16" s="249"/>
      <c r="BG16" s="249"/>
      <c r="BH16" s="249"/>
      <c r="BI16" s="249"/>
      <c r="BJ16" s="249"/>
      <c r="BK16" s="249"/>
      <c r="BL16" s="249"/>
      <c r="BM16" s="257">
        <f>SUM('الامتثال والالتزام (للجهة)'!$BE16:$BL16)</f>
        <v>2</v>
      </c>
      <c r="BN16" s="257">
        <v>2</v>
      </c>
      <c r="BO16" s="258">
        <f>'الامتثال والالتزام (للجهة)'!$BM16/'الامتثال والالتزام (للجهة)'!$BN16</f>
        <v>1</v>
      </c>
      <c r="BP16" s="257">
        <f>COUNTBLANK(BE16)</f>
        <v>0</v>
      </c>
    </row>
    <row r="17" spans="1:68" ht="47.25" thickBot="1" x14ac:dyDescent="0.55000000000000004">
      <c r="A17" s="961"/>
      <c r="B17" s="918"/>
      <c r="C17" s="920"/>
      <c r="D17" s="922"/>
      <c r="E17" s="396">
        <v>5</v>
      </c>
      <c r="F17" s="397">
        <v>1</v>
      </c>
      <c r="G17" s="398" t="s">
        <v>166</v>
      </c>
      <c r="H17" s="399" t="str">
        <f>$B$14&amp;"-"&amp;$E$17&amp;"-"&amp;J17</f>
        <v>2-5-1</v>
      </c>
      <c r="I17" s="400" t="str">
        <f t="shared" si="0"/>
        <v>2-5-1-نعم - تتحقق بشكل متكامل</v>
      </c>
      <c r="J17" s="399">
        <v>1</v>
      </c>
      <c r="K17" s="401" t="s">
        <v>167</v>
      </c>
      <c r="L17" s="402">
        <v>1</v>
      </c>
      <c r="M17" s="401" t="s">
        <v>124</v>
      </c>
      <c r="N17" s="403" t="s">
        <v>168</v>
      </c>
      <c r="O17" s="301" t="s">
        <v>542</v>
      </c>
      <c r="P17" s="463">
        <f>IF(I17="","",INDEX('النماذج (الأصل)'!$AC$3:$AE$210,MATCH(I17,'النماذج (الأصل)'!$AC$3:$AC$210,0),3))</f>
        <v>1</v>
      </c>
      <c r="Q17" s="464">
        <f>IF(P17="",0,P17)</f>
        <v>1</v>
      </c>
      <c r="R17" s="328">
        <f>SUM(Q17)</f>
        <v>1</v>
      </c>
      <c r="S17" s="987"/>
      <c r="BA17" s="245" t="s">
        <v>228</v>
      </c>
      <c r="BB17" s="246">
        <v>3</v>
      </c>
      <c r="BC17" s="247" t="s">
        <v>229</v>
      </c>
      <c r="BD17" s="246">
        <v>14</v>
      </c>
      <c r="BE17" s="248">
        <f>P39</f>
        <v>4</v>
      </c>
      <c r="BF17" s="249"/>
      <c r="BG17" s="249"/>
      <c r="BH17" s="249"/>
      <c r="BI17" s="249"/>
      <c r="BJ17" s="249"/>
      <c r="BK17" s="249"/>
      <c r="BL17" s="249"/>
      <c r="BM17" s="250">
        <f>SUM('الامتثال والالتزام (للجهة)'!$BE17:$BL17)</f>
        <v>4</v>
      </c>
      <c r="BN17" s="250">
        <v>4</v>
      </c>
      <c r="BO17" s="251">
        <f>'الامتثال والالتزام (للجهة)'!$BM17/'الامتثال والالتزام (للجهة)'!$BN17</f>
        <v>1</v>
      </c>
      <c r="BP17" s="250">
        <f>COUNTBLANK(BE17)</f>
        <v>0</v>
      </c>
    </row>
    <row r="18" spans="1:68" ht="46.5" x14ac:dyDescent="0.5">
      <c r="A18" s="961"/>
      <c r="B18" s="918"/>
      <c r="C18" s="920"/>
      <c r="D18" s="922"/>
      <c r="E18" s="910">
        <v>6</v>
      </c>
      <c r="F18" s="907">
        <v>4</v>
      </c>
      <c r="G18" s="404" t="s">
        <v>172</v>
      </c>
      <c r="H18" s="405" t="str">
        <f>$B$14&amp;"-"&amp;$E$18&amp;"-"&amp;J18</f>
        <v>2-6-1</v>
      </c>
      <c r="I18" s="406" t="str">
        <f t="shared" si="0"/>
        <v>2-6-1-نعم - تم تحديد رئيساً للمجلس</v>
      </c>
      <c r="J18" s="405">
        <v>1</v>
      </c>
      <c r="K18" s="378" t="s">
        <v>516</v>
      </c>
      <c r="L18" s="376">
        <v>2</v>
      </c>
      <c r="M18" s="378" t="s">
        <v>124</v>
      </c>
      <c r="N18" s="379" t="s">
        <v>174</v>
      </c>
      <c r="O18" s="296" t="s">
        <v>543</v>
      </c>
      <c r="P18" s="389">
        <f>IF(I18="","",INDEX('النماذج (الأصل)'!$AC$3:$AE$210,MATCH(I18,'النماذج (الأصل)'!$AC$3:$AC$210,0),3))</f>
        <v>2</v>
      </c>
      <c r="Q18" s="461">
        <f>IF(P18="",0,P18)</f>
        <v>2</v>
      </c>
      <c r="R18" s="966">
        <f>SUM(Q18:Q21)</f>
        <v>4</v>
      </c>
      <c r="S18" s="987"/>
      <c r="BA18" s="245" t="s">
        <v>247</v>
      </c>
      <c r="BB18" s="254">
        <v>4</v>
      </c>
      <c r="BC18" s="255" t="s">
        <v>248</v>
      </c>
      <c r="BD18" s="254">
        <v>15</v>
      </c>
      <c r="BE18" s="256" t="str">
        <f>P40</f>
        <v>-</v>
      </c>
      <c r="BF18" s="256">
        <f>IF(BE18=3,0,P41)</f>
        <v>2</v>
      </c>
      <c r="BG18" s="256">
        <f>IF(BE18=3,0,P42)</f>
        <v>1</v>
      </c>
      <c r="BH18" s="249"/>
      <c r="BI18" s="249"/>
      <c r="BJ18" s="249"/>
      <c r="BK18" s="249"/>
      <c r="BL18" s="249"/>
      <c r="BM18" s="257">
        <f>SUM('الامتثال والالتزام (للجهة)'!$BE18:$BL18)</f>
        <v>3</v>
      </c>
      <c r="BN18" s="257">
        <v>3</v>
      </c>
      <c r="BO18" s="258">
        <f>'الامتثال والالتزام (للجهة)'!$BM18/'الامتثال والالتزام (للجهة)'!$BN18</f>
        <v>1</v>
      </c>
      <c r="BP18" s="257">
        <f>COUNTBLANK(BE18:BG18)</f>
        <v>0</v>
      </c>
    </row>
    <row r="19" spans="1:68" ht="46.5" x14ac:dyDescent="0.5">
      <c r="A19" s="961"/>
      <c r="B19" s="918"/>
      <c r="C19" s="920"/>
      <c r="D19" s="922"/>
      <c r="E19" s="911"/>
      <c r="F19" s="908"/>
      <c r="G19" s="905" t="s">
        <v>177</v>
      </c>
      <c r="H19" s="407" t="str">
        <f t="shared" ref="H19:H21" si="5">$B$14&amp;"-"&amp;$E$18&amp;"-"&amp;J19</f>
        <v>2-6-2</v>
      </c>
      <c r="I19" s="408" t="str">
        <f t="shared" si="0"/>
        <v>2-6-2-نعم - يتم الانتقال إلى السؤال التالي</v>
      </c>
      <c r="J19" s="407">
        <v>2</v>
      </c>
      <c r="K19" s="386" t="s">
        <v>178</v>
      </c>
      <c r="L19" s="959">
        <v>1</v>
      </c>
      <c r="M19" s="965" t="s">
        <v>124</v>
      </c>
      <c r="N19" s="387" t="s">
        <v>179</v>
      </c>
      <c r="O19" s="297" t="s">
        <v>538</v>
      </c>
      <c r="P19" s="391" t="str">
        <f>IF(I19="","",INDEX('النماذج (الأصل)'!$AC$3:$AE$210,MATCH(I19,'النماذج (الأصل)'!$AC$3:$AC$210,0),3))</f>
        <v>-</v>
      </c>
      <c r="Q19" s="973">
        <f>IF(P19=0,0,SUM(P19:P20))</f>
        <v>1</v>
      </c>
      <c r="R19" s="968"/>
      <c r="S19" s="987"/>
      <c r="BA19" s="245" t="s">
        <v>247</v>
      </c>
      <c r="BB19" s="246">
        <v>4</v>
      </c>
      <c r="BC19" s="247" t="s">
        <v>248</v>
      </c>
      <c r="BD19" s="246">
        <v>16</v>
      </c>
      <c r="BE19" s="248">
        <f>P43</f>
        <v>1</v>
      </c>
      <c r="BF19" s="248" t="str">
        <f>P44</f>
        <v>-</v>
      </c>
      <c r="BG19" s="248">
        <f>IF(BF19=0,0,P45)</f>
        <v>1</v>
      </c>
      <c r="BH19" s="248" t="str">
        <f>P46</f>
        <v>-</v>
      </c>
      <c r="BI19" s="248">
        <f>IF(BH19=1,0,P47)</f>
        <v>1</v>
      </c>
      <c r="BJ19" s="249"/>
      <c r="BK19" s="249"/>
      <c r="BL19" s="249"/>
      <c r="BM19" s="250">
        <f>SUM('الامتثال والالتزام (للجهة)'!$BE19:$BL19)</f>
        <v>3</v>
      </c>
      <c r="BN19" s="250">
        <v>3</v>
      </c>
      <c r="BO19" s="251">
        <f>'الامتثال والالتزام (للجهة)'!$BM19/'الامتثال والالتزام (للجهة)'!$BN19</f>
        <v>1</v>
      </c>
      <c r="BP19" s="250">
        <f>COUNTBLANK(BE19:BI19)</f>
        <v>0</v>
      </c>
    </row>
    <row r="20" spans="1:68" ht="46.5" x14ac:dyDescent="0.5">
      <c r="A20" s="961"/>
      <c r="B20" s="918"/>
      <c r="C20" s="920"/>
      <c r="D20" s="922"/>
      <c r="E20" s="911"/>
      <c r="F20" s="908"/>
      <c r="G20" s="906"/>
      <c r="H20" s="409" t="str">
        <f t="shared" si="5"/>
        <v>2-6-3</v>
      </c>
      <c r="I20" s="410" t="str">
        <f t="shared" si="0"/>
        <v>2-6-3-نعم - توجد متابعة بشكل متكامل</v>
      </c>
      <c r="J20" s="409">
        <v>3</v>
      </c>
      <c r="K20" s="411" t="s">
        <v>181</v>
      </c>
      <c r="L20" s="959"/>
      <c r="M20" s="965"/>
      <c r="N20" s="412" t="s">
        <v>182</v>
      </c>
      <c r="O20" s="302" t="s">
        <v>561</v>
      </c>
      <c r="P20" s="465">
        <f>IF(AND(I20="",P19=0),0,IF(I20="","",IF(P19="-",INDEX('النماذج (الأصل)'!$AC$3:$AE$210,MATCH(I20,'النماذج (الأصل)'!$AC$3:$AC$210,0),3),0)))</f>
        <v>1</v>
      </c>
      <c r="Q20" s="973"/>
      <c r="R20" s="968"/>
      <c r="S20" s="987"/>
      <c r="BA20" s="245" t="s">
        <v>276</v>
      </c>
      <c r="BB20" s="254">
        <v>5</v>
      </c>
      <c r="BC20" s="255" t="s">
        <v>277</v>
      </c>
      <c r="BD20" s="254">
        <v>17</v>
      </c>
      <c r="BE20" s="256" t="str">
        <f>P48</f>
        <v>-</v>
      </c>
      <c r="BF20" s="256">
        <f>IF(BE20=0,0,P49)</f>
        <v>6</v>
      </c>
      <c r="BG20" s="256">
        <f>P50</f>
        <v>4</v>
      </c>
      <c r="BH20" s="249"/>
      <c r="BI20" s="249"/>
      <c r="BJ20" s="249"/>
      <c r="BK20" s="249"/>
      <c r="BL20" s="249"/>
      <c r="BM20" s="257">
        <f>SUM('الامتثال والالتزام (للجهة)'!$BE20:$BL20)</f>
        <v>10</v>
      </c>
      <c r="BN20" s="257">
        <v>10</v>
      </c>
      <c r="BO20" s="258">
        <f>'الامتثال والالتزام (للجهة)'!$BM20/'الامتثال والالتزام (للجهة)'!$BN20</f>
        <v>1</v>
      </c>
      <c r="BP20" s="257">
        <f>COUNTBLANK(BE20:BG20)</f>
        <v>0</v>
      </c>
    </row>
    <row r="21" spans="1:68" ht="47.25" thickBot="1" x14ac:dyDescent="0.55000000000000004">
      <c r="A21" s="961"/>
      <c r="B21" s="918"/>
      <c r="C21" s="920"/>
      <c r="D21" s="922"/>
      <c r="E21" s="912"/>
      <c r="F21" s="909"/>
      <c r="G21" s="413" t="s">
        <v>186</v>
      </c>
      <c r="H21" s="414" t="str">
        <f t="shared" si="5"/>
        <v>2-6-4</v>
      </c>
      <c r="I21" s="415" t="str">
        <f t="shared" si="0"/>
        <v>2-6-4-نعم - تم عقد برامج تعريفية للمجلس</v>
      </c>
      <c r="J21" s="414">
        <v>4</v>
      </c>
      <c r="K21" s="382" t="s">
        <v>187</v>
      </c>
      <c r="L21" s="380">
        <v>1</v>
      </c>
      <c r="M21" s="382" t="s">
        <v>124</v>
      </c>
      <c r="N21" s="383" t="s">
        <v>188</v>
      </c>
      <c r="O21" s="298" t="s">
        <v>544</v>
      </c>
      <c r="P21" s="390">
        <f>IF(I21="","",INDEX('النماذج (الأصل)'!$AC$3:$AE$210,MATCH(I21,'النماذج (الأصل)'!$AC$3:$AC$210,0),3))</f>
        <v>1</v>
      </c>
      <c r="Q21" s="393">
        <f>IF(P21="",0,P21)</f>
        <v>1</v>
      </c>
      <c r="R21" s="967"/>
      <c r="S21" s="987"/>
      <c r="BA21" s="245" t="s">
        <v>288</v>
      </c>
      <c r="BB21" s="246">
        <v>6</v>
      </c>
      <c r="BC21" s="247" t="s">
        <v>289</v>
      </c>
      <c r="BD21" s="246">
        <v>18</v>
      </c>
      <c r="BE21" s="248" t="str">
        <f>P51</f>
        <v>-</v>
      </c>
      <c r="BF21" s="248">
        <f>IF(BE21=0,0,P52)</f>
        <v>1</v>
      </c>
      <c r="BG21" s="249"/>
      <c r="BH21" s="249"/>
      <c r="BI21" s="249"/>
      <c r="BJ21" s="249"/>
      <c r="BK21" s="249"/>
      <c r="BL21" s="249"/>
      <c r="BM21" s="250">
        <f>SUM('الامتثال والالتزام (للجهة)'!$BE21:$BL21)</f>
        <v>1</v>
      </c>
      <c r="BN21" s="250">
        <v>1</v>
      </c>
      <c r="BO21" s="251">
        <f>'الامتثال والالتزام (للجهة)'!$BM21/'الامتثال والالتزام (للجهة)'!$BN21</f>
        <v>1</v>
      </c>
      <c r="BP21" s="250">
        <f>COUNTBLANK(BE21:BF21)</f>
        <v>0</v>
      </c>
    </row>
    <row r="22" spans="1:68" ht="69.75" x14ac:dyDescent="0.5">
      <c r="A22" s="961"/>
      <c r="B22" s="918"/>
      <c r="C22" s="920"/>
      <c r="D22" s="922"/>
      <c r="E22" s="910">
        <v>7</v>
      </c>
      <c r="F22" s="907">
        <v>16</v>
      </c>
      <c r="G22" s="932" t="s">
        <v>190</v>
      </c>
      <c r="H22" s="416" t="str">
        <f>$B$14&amp;"-"&amp;$E$22&amp;"-"&amp;J22</f>
        <v>2-7-1</v>
      </c>
      <c r="I22" s="417" t="str">
        <f t="shared" si="0"/>
        <v>2-7-1-نعم - توجد</v>
      </c>
      <c r="J22" s="416">
        <v>1</v>
      </c>
      <c r="K22" s="378" t="s">
        <v>191</v>
      </c>
      <c r="L22" s="376">
        <v>2</v>
      </c>
      <c r="M22" s="378" t="s">
        <v>124</v>
      </c>
      <c r="N22" s="388" t="s">
        <v>192</v>
      </c>
      <c r="O22" s="299" t="s">
        <v>545</v>
      </c>
      <c r="P22" s="394">
        <f>IF(I22="","",INDEX('النماذج (الأصل)'!$AC$3:$AE$210,MATCH(I22,'النماذج (الأصل)'!$AC$3:$AC$210,0),3))</f>
        <v>2</v>
      </c>
      <c r="Q22" s="461">
        <f t="shared" ref="Q22:Q29" si="6">IF(P22="",0,P22)</f>
        <v>2</v>
      </c>
      <c r="R22" s="966">
        <f>SUM(Q22:Q29)</f>
        <v>16</v>
      </c>
      <c r="S22" s="987"/>
      <c r="BA22" s="245" t="s">
        <v>288</v>
      </c>
      <c r="BB22" s="254">
        <v>6</v>
      </c>
      <c r="BC22" s="255" t="s">
        <v>289</v>
      </c>
      <c r="BD22" s="254">
        <v>19</v>
      </c>
      <c r="BE22" s="256" t="str">
        <f>P53</f>
        <v>-</v>
      </c>
      <c r="BF22" s="256">
        <f>IF(BE22=0,0,P54)</f>
        <v>2</v>
      </c>
      <c r="BG22" s="249"/>
      <c r="BH22" s="249"/>
      <c r="BI22" s="249"/>
      <c r="BJ22" s="249"/>
      <c r="BK22" s="249"/>
      <c r="BL22" s="249"/>
      <c r="BM22" s="257">
        <f>SUM('الامتثال والالتزام (للجهة)'!$BE22:$BL22)</f>
        <v>2</v>
      </c>
      <c r="BN22" s="257">
        <v>2</v>
      </c>
      <c r="BO22" s="258">
        <f>'الامتثال والالتزام (للجهة)'!$BM22/'الامتثال والالتزام (للجهة)'!$BN22</f>
        <v>1</v>
      </c>
      <c r="BP22" s="257">
        <f>COUNTBLANK(BE22:BF22)</f>
        <v>0</v>
      </c>
    </row>
    <row r="23" spans="1:68" ht="46.5" x14ac:dyDescent="0.5">
      <c r="A23" s="961"/>
      <c r="B23" s="918"/>
      <c r="C23" s="920"/>
      <c r="D23" s="922"/>
      <c r="E23" s="911"/>
      <c r="F23" s="908"/>
      <c r="G23" s="933"/>
      <c r="H23" s="418" t="str">
        <f t="shared" ref="H23:H29" si="7">$B$14&amp;"-"&amp;$E$22&amp;"-"&amp;J23</f>
        <v>2-7-2</v>
      </c>
      <c r="I23" s="419" t="str">
        <f t="shared" si="0"/>
        <v>2-7-2-نعم - توجد</v>
      </c>
      <c r="J23" s="418">
        <v>2</v>
      </c>
      <c r="K23" s="386" t="s">
        <v>195</v>
      </c>
      <c r="L23" s="384">
        <v>2</v>
      </c>
      <c r="M23" s="386" t="s">
        <v>124</v>
      </c>
      <c r="N23" s="395" t="s">
        <v>196</v>
      </c>
      <c r="O23" s="300" t="s">
        <v>545</v>
      </c>
      <c r="P23" s="462">
        <f>IF(I23="","",INDEX('النماذج (الأصل)'!$AC$3:$AE$210,MATCH(I23,'النماذج (الأصل)'!$AC$3:$AC$210,0),3))</f>
        <v>2</v>
      </c>
      <c r="Q23" s="392">
        <f t="shared" si="6"/>
        <v>2</v>
      </c>
      <c r="R23" s="968"/>
      <c r="S23" s="987"/>
      <c r="BA23" s="245" t="s">
        <v>288</v>
      </c>
      <c r="BB23" s="246">
        <v>6</v>
      </c>
      <c r="BC23" s="247" t="s">
        <v>289</v>
      </c>
      <c r="BD23" s="246">
        <v>20</v>
      </c>
      <c r="BE23" s="248">
        <f>P55</f>
        <v>1</v>
      </c>
      <c r="BF23" s="248" t="str">
        <f>P56</f>
        <v>-</v>
      </c>
      <c r="BG23" s="248">
        <f>IF(BF23=2,0,P57)</f>
        <v>2</v>
      </c>
      <c r="BH23" s="249"/>
      <c r="BI23" s="249"/>
      <c r="BJ23" s="249"/>
      <c r="BK23" s="249"/>
      <c r="BL23" s="249"/>
      <c r="BM23" s="250">
        <f>SUM('الامتثال والالتزام (للجهة)'!$BE23:$BL23)</f>
        <v>3</v>
      </c>
      <c r="BN23" s="250">
        <v>3</v>
      </c>
      <c r="BO23" s="251">
        <f>'الامتثال والالتزام (للجهة)'!$BM23/'الامتثال والالتزام (للجهة)'!$BN23</f>
        <v>1</v>
      </c>
      <c r="BP23" s="250">
        <f>COUNTBLANK(BE23:BG23)</f>
        <v>0</v>
      </c>
    </row>
    <row r="24" spans="1:68" ht="46.5" x14ac:dyDescent="0.5">
      <c r="A24" s="961"/>
      <c r="B24" s="918"/>
      <c r="C24" s="920"/>
      <c r="D24" s="922"/>
      <c r="E24" s="911"/>
      <c r="F24" s="908"/>
      <c r="G24" s="933"/>
      <c r="H24" s="418" t="str">
        <f t="shared" si="7"/>
        <v>2-7-3</v>
      </c>
      <c r="I24" s="419" t="str">
        <f t="shared" si="0"/>
        <v>2-7-3-نعم - توجد</v>
      </c>
      <c r="J24" s="418">
        <v>3</v>
      </c>
      <c r="K24" s="386" t="s">
        <v>197</v>
      </c>
      <c r="L24" s="384">
        <v>2</v>
      </c>
      <c r="M24" s="386" t="s">
        <v>124</v>
      </c>
      <c r="N24" s="395" t="s">
        <v>198</v>
      </c>
      <c r="O24" s="300" t="s">
        <v>545</v>
      </c>
      <c r="P24" s="462">
        <f>IF(I24="","",INDEX('النماذج (الأصل)'!$AC$3:$AE$210,MATCH(I24,'النماذج (الأصل)'!$AC$3:$AC$210,0),3))</f>
        <v>2</v>
      </c>
      <c r="Q24" s="392">
        <f t="shared" si="6"/>
        <v>2</v>
      </c>
      <c r="R24" s="968"/>
      <c r="S24" s="987"/>
      <c r="BA24" s="245" t="s">
        <v>33</v>
      </c>
      <c r="BB24" s="254">
        <v>7</v>
      </c>
      <c r="BC24" s="255" t="s">
        <v>314</v>
      </c>
      <c r="BD24" s="254">
        <v>21</v>
      </c>
      <c r="BE24" s="256">
        <f>P58</f>
        <v>2</v>
      </c>
      <c r="BF24" s="256">
        <f>P59</f>
        <v>2</v>
      </c>
      <c r="BG24" s="256" t="str">
        <f>P60</f>
        <v>-</v>
      </c>
      <c r="BH24" s="256">
        <f>IF(BG24=0,0,P61)</f>
        <v>2</v>
      </c>
      <c r="BI24" s="249"/>
      <c r="BJ24" s="249"/>
      <c r="BK24" s="249"/>
      <c r="BL24" s="249"/>
      <c r="BM24" s="257">
        <f>SUM('الامتثال والالتزام (للجهة)'!$BE24:$BL24)</f>
        <v>6</v>
      </c>
      <c r="BN24" s="257">
        <v>6</v>
      </c>
      <c r="BO24" s="258">
        <f>'الامتثال والالتزام (للجهة)'!$BM24/'الامتثال والالتزام (للجهة)'!$BN24</f>
        <v>1</v>
      </c>
      <c r="BP24" s="257">
        <f>COUNTBLANK(BE24:BH24)</f>
        <v>0</v>
      </c>
    </row>
    <row r="25" spans="1:68" ht="46.5" x14ac:dyDescent="0.5">
      <c r="A25" s="961"/>
      <c r="B25" s="918"/>
      <c r="C25" s="920"/>
      <c r="D25" s="922"/>
      <c r="E25" s="911"/>
      <c r="F25" s="908"/>
      <c r="G25" s="934"/>
      <c r="H25" s="418" t="str">
        <f t="shared" si="7"/>
        <v>2-7-4</v>
      </c>
      <c r="I25" s="419" t="str">
        <f t="shared" si="0"/>
        <v>2-7-4-نعم - توجد</v>
      </c>
      <c r="J25" s="418">
        <v>4</v>
      </c>
      <c r="K25" s="386" t="s">
        <v>199</v>
      </c>
      <c r="L25" s="384">
        <v>2</v>
      </c>
      <c r="M25" s="386" t="s">
        <v>124</v>
      </c>
      <c r="N25" s="395" t="s">
        <v>200</v>
      </c>
      <c r="O25" s="300" t="s">
        <v>545</v>
      </c>
      <c r="P25" s="462">
        <f>IF(I25="","",INDEX('النماذج (الأصل)'!$AC$3:$AE$210,MATCH(I25,'النماذج (الأصل)'!$AC$3:$AC$210,0),3))</f>
        <v>2</v>
      </c>
      <c r="Q25" s="392">
        <f t="shared" si="6"/>
        <v>2</v>
      </c>
      <c r="R25" s="968"/>
      <c r="S25" s="987"/>
      <c r="BA25" s="245" t="s">
        <v>33</v>
      </c>
      <c r="BB25" s="246">
        <v>7</v>
      </c>
      <c r="BC25" s="247" t="s">
        <v>314</v>
      </c>
      <c r="BD25" s="246">
        <v>22</v>
      </c>
      <c r="BE25" s="248" t="str">
        <f>P62</f>
        <v>-</v>
      </c>
      <c r="BF25" s="248">
        <f>IF(BE25=3,0,P63)</f>
        <v>3</v>
      </c>
      <c r="BG25" s="249"/>
      <c r="BH25" s="249"/>
      <c r="BI25" s="249"/>
      <c r="BJ25" s="249"/>
      <c r="BK25" s="249"/>
      <c r="BL25" s="249"/>
      <c r="BM25" s="250">
        <f>SUM('الامتثال والالتزام (للجهة)'!$BE25:$BL25)</f>
        <v>3</v>
      </c>
      <c r="BN25" s="250">
        <v>3</v>
      </c>
      <c r="BO25" s="251">
        <f>'الامتثال والالتزام (للجهة)'!$BM25/'الامتثال والالتزام (للجهة)'!$BN25</f>
        <v>1</v>
      </c>
      <c r="BP25" s="250">
        <f>COUNTBLANK(BE25:BF25)</f>
        <v>0</v>
      </c>
    </row>
    <row r="26" spans="1:68" ht="46.5" x14ac:dyDescent="0.5">
      <c r="A26" s="961"/>
      <c r="B26" s="918"/>
      <c r="C26" s="920"/>
      <c r="D26" s="922"/>
      <c r="E26" s="911"/>
      <c r="F26" s="908"/>
      <c r="G26" s="935" t="s">
        <v>201</v>
      </c>
      <c r="H26" s="418" t="str">
        <f t="shared" si="7"/>
        <v>2-7-5</v>
      </c>
      <c r="I26" s="419" t="str">
        <f t="shared" si="0"/>
        <v>2-7-5-نعم - توجد</v>
      </c>
      <c r="J26" s="418">
        <v>5</v>
      </c>
      <c r="K26" s="386" t="s">
        <v>202</v>
      </c>
      <c r="L26" s="384">
        <v>2</v>
      </c>
      <c r="M26" s="386" t="s">
        <v>124</v>
      </c>
      <c r="N26" s="395" t="s">
        <v>203</v>
      </c>
      <c r="O26" s="300" t="s">
        <v>545</v>
      </c>
      <c r="P26" s="462">
        <f>IF(I26="","",INDEX('النماذج (الأصل)'!$AC$3:$AE$210,MATCH(I26,'النماذج (الأصل)'!$AC$3:$AC$210,0),3))</f>
        <v>2</v>
      </c>
      <c r="Q26" s="392">
        <f t="shared" si="6"/>
        <v>2</v>
      </c>
      <c r="R26" s="968"/>
      <c r="S26" s="987"/>
      <c r="BA26" s="245" t="s">
        <v>33</v>
      </c>
      <c r="BB26" s="254">
        <v>7</v>
      </c>
      <c r="BC26" s="255" t="s">
        <v>314</v>
      </c>
      <c r="BD26" s="254">
        <v>23</v>
      </c>
      <c r="BE26" s="256" t="str">
        <f>P64</f>
        <v>-</v>
      </c>
      <c r="BF26" s="256">
        <f>IF(BE26=3,0,P65)</f>
        <v>3</v>
      </c>
      <c r="BG26" s="249"/>
      <c r="BH26" s="249"/>
      <c r="BI26" s="249"/>
      <c r="BJ26" s="249"/>
      <c r="BK26" s="249"/>
      <c r="BL26" s="249"/>
      <c r="BM26" s="257">
        <f>SUM('الامتثال والالتزام (للجهة)'!$BE26:$BL26)</f>
        <v>3</v>
      </c>
      <c r="BN26" s="257">
        <v>3</v>
      </c>
      <c r="BO26" s="258">
        <f>'الامتثال والالتزام (للجهة)'!$BM26/'الامتثال والالتزام (للجهة)'!$BN26</f>
        <v>1</v>
      </c>
      <c r="BP26" s="257">
        <f>COUNTBLANK(BE26:BF26)</f>
        <v>0</v>
      </c>
    </row>
    <row r="27" spans="1:68" ht="46.5" x14ac:dyDescent="0.5">
      <c r="A27" s="961"/>
      <c r="B27" s="918"/>
      <c r="C27" s="920"/>
      <c r="D27" s="922"/>
      <c r="E27" s="911"/>
      <c r="F27" s="908"/>
      <c r="G27" s="933"/>
      <c r="H27" s="418" t="str">
        <f t="shared" si="7"/>
        <v>2-7-6</v>
      </c>
      <c r="I27" s="419" t="str">
        <f t="shared" si="0"/>
        <v>2-7-6-نعم - توجد</v>
      </c>
      <c r="J27" s="418">
        <v>6</v>
      </c>
      <c r="K27" s="386" t="s">
        <v>204</v>
      </c>
      <c r="L27" s="384">
        <v>2</v>
      </c>
      <c r="M27" s="386" t="s">
        <v>124</v>
      </c>
      <c r="N27" s="395" t="s">
        <v>205</v>
      </c>
      <c r="O27" s="300" t="s">
        <v>545</v>
      </c>
      <c r="P27" s="462">
        <f>IF(I27="","",INDEX('النماذج (الأصل)'!$AC$3:$AE$210,MATCH(I27,'النماذج (الأصل)'!$AC$3:$AC$210,0),3))</f>
        <v>2</v>
      </c>
      <c r="Q27" s="392">
        <f t="shared" si="6"/>
        <v>2</v>
      </c>
      <c r="R27" s="968"/>
      <c r="S27" s="987"/>
      <c r="BA27" s="245" t="s">
        <v>34</v>
      </c>
      <c r="BB27" s="246">
        <v>8</v>
      </c>
      <c r="BC27" s="247" t="s">
        <v>343</v>
      </c>
      <c r="BD27" s="246">
        <v>24</v>
      </c>
      <c r="BE27" s="248">
        <f>P66</f>
        <v>4</v>
      </c>
      <c r="BF27" s="249"/>
      <c r="BG27" s="249"/>
      <c r="BH27" s="249"/>
      <c r="BI27" s="249"/>
      <c r="BJ27" s="249"/>
      <c r="BK27" s="249"/>
      <c r="BL27" s="249"/>
      <c r="BM27" s="250">
        <f>SUM('الامتثال والالتزام (للجهة)'!$BE27:$BL27)</f>
        <v>4</v>
      </c>
      <c r="BN27" s="250">
        <v>4</v>
      </c>
      <c r="BO27" s="251">
        <f>'الامتثال والالتزام (للجهة)'!$BM27/'الامتثال والالتزام (للجهة)'!$BN27</f>
        <v>1</v>
      </c>
      <c r="BP27" s="250">
        <f>COUNTBLANK(BE27)</f>
        <v>0</v>
      </c>
    </row>
    <row r="28" spans="1:68" ht="47.25" thickBot="1" x14ac:dyDescent="0.55000000000000004">
      <c r="A28" s="961"/>
      <c r="B28" s="918"/>
      <c r="C28" s="920"/>
      <c r="D28" s="922"/>
      <c r="E28" s="911"/>
      <c r="F28" s="908"/>
      <c r="G28" s="933"/>
      <c r="H28" s="418" t="str">
        <f t="shared" si="7"/>
        <v>2-7-7</v>
      </c>
      <c r="I28" s="419" t="str">
        <f t="shared" si="0"/>
        <v>2-7-7-نعم - توجد</v>
      </c>
      <c r="J28" s="418">
        <v>7</v>
      </c>
      <c r="K28" s="386" t="s">
        <v>206</v>
      </c>
      <c r="L28" s="384">
        <v>2</v>
      </c>
      <c r="M28" s="386" t="s">
        <v>124</v>
      </c>
      <c r="N28" s="395" t="s">
        <v>207</v>
      </c>
      <c r="O28" s="300" t="s">
        <v>545</v>
      </c>
      <c r="P28" s="462">
        <f>IF(I28="","",INDEX('النماذج (الأصل)'!$AC$3:$AE$210,MATCH(I28,'النماذج (الأصل)'!$AC$3:$AC$210,0),3))</f>
        <v>2</v>
      </c>
      <c r="Q28" s="392">
        <f t="shared" si="6"/>
        <v>2</v>
      </c>
      <c r="R28" s="968"/>
      <c r="S28" s="987"/>
      <c r="BA28" s="259" t="s">
        <v>350</v>
      </c>
      <c r="BB28" s="260">
        <v>9</v>
      </c>
      <c r="BC28" s="261" t="s">
        <v>351</v>
      </c>
      <c r="BD28" s="260">
        <v>25</v>
      </c>
      <c r="BE28" s="262" t="str">
        <f>P67</f>
        <v>-</v>
      </c>
      <c r="BF28" s="262">
        <f>IF(BE28=2,0,P68)</f>
        <v>2</v>
      </c>
      <c r="BG28" s="262">
        <f>IF(BE28=2,0,P69)</f>
        <v>2</v>
      </c>
      <c r="BH28" s="263"/>
      <c r="BI28" s="263"/>
      <c r="BJ28" s="263"/>
      <c r="BK28" s="263"/>
      <c r="BL28" s="263"/>
      <c r="BM28" s="264">
        <f>SUM('الامتثال والالتزام (للجهة)'!$BE28:$BL28)</f>
        <v>4</v>
      </c>
      <c r="BN28" s="264">
        <v>4</v>
      </c>
      <c r="BO28" s="265">
        <f>'الامتثال والالتزام (للجهة)'!$BM28/'الامتثال والالتزام (للجهة)'!$BN28</f>
        <v>1</v>
      </c>
      <c r="BP28" s="264">
        <f>COUNTBLANK(BE28:BG28)</f>
        <v>0</v>
      </c>
    </row>
    <row r="29" spans="1:68" ht="47.25" thickBot="1" x14ac:dyDescent="0.55000000000000004">
      <c r="A29" s="961"/>
      <c r="B29" s="918"/>
      <c r="C29" s="920"/>
      <c r="D29" s="922"/>
      <c r="E29" s="912"/>
      <c r="F29" s="909"/>
      <c r="G29" s="936"/>
      <c r="H29" s="420" t="str">
        <f t="shared" si="7"/>
        <v>2-7-8</v>
      </c>
      <c r="I29" s="421" t="str">
        <f t="shared" si="0"/>
        <v>2-7-8-نعم - توجد</v>
      </c>
      <c r="J29" s="420">
        <v>8</v>
      </c>
      <c r="K29" s="382" t="s">
        <v>208</v>
      </c>
      <c r="L29" s="380">
        <v>2</v>
      </c>
      <c r="M29" s="382" t="s">
        <v>124</v>
      </c>
      <c r="N29" s="422" t="s">
        <v>209</v>
      </c>
      <c r="O29" s="300" t="s">
        <v>545</v>
      </c>
      <c r="P29" s="466">
        <f>IF(I29="","",INDEX('النماذج (الأصل)'!$AC$3:$AE$210,MATCH(I29,'النماذج (الأصل)'!$AC$3:$AC$210,0),3))</f>
        <v>2</v>
      </c>
      <c r="Q29" s="393">
        <f t="shared" si="6"/>
        <v>2</v>
      </c>
      <c r="R29" s="967"/>
      <c r="S29" s="987"/>
    </row>
    <row r="30" spans="1:68" ht="46.5" x14ac:dyDescent="0.5">
      <c r="A30" s="961"/>
      <c r="B30" s="918"/>
      <c r="C30" s="920"/>
      <c r="D30" s="922"/>
      <c r="E30" s="910">
        <v>8</v>
      </c>
      <c r="F30" s="907">
        <v>4</v>
      </c>
      <c r="G30" s="913" t="s">
        <v>210</v>
      </c>
      <c r="H30" s="416" t="str">
        <f>$B$14&amp;"-"&amp;$E$30&amp;"-"&amp;J30</f>
        <v>2-8-1</v>
      </c>
      <c r="I30" s="417" t="str">
        <f t="shared" si="0"/>
        <v>2-8-1-نعم - يتم الانتقال إلى السؤال التالي</v>
      </c>
      <c r="J30" s="416">
        <v>1</v>
      </c>
      <c r="K30" s="423" t="s">
        <v>211</v>
      </c>
      <c r="L30" s="948">
        <v>4</v>
      </c>
      <c r="M30" s="378" t="s">
        <v>124</v>
      </c>
      <c r="N30" s="388" t="s">
        <v>212</v>
      </c>
      <c r="O30" s="303" t="s">
        <v>538</v>
      </c>
      <c r="P30" s="394" t="str">
        <f>IF(I30="","",INDEX('النماذج (الأصل)'!$AC$3:$AE$210,MATCH(I30,'النماذج (الأصل)'!$AC$3:$AC$210,0),3))</f>
        <v>-</v>
      </c>
      <c r="Q30" s="972">
        <f>IF(P30=0,0,SUM(P30:P31))</f>
        <v>4</v>
      </c>
      <c r="R30" s="966">
        <f>Q30</f>
        <v>4</v>
      </c>
      <c r="S30" s="987"/>
    </row>
    <row r="31" spans="1:68" ht="93.75" thickBot="1" x14ac:dyDescent="0.55000000000000004">
      <c r="A31" s="961"/>
      <c r="B31" s="918"/>
      <c r="C31" s="920"/>
      <c r="D31" s="922"/>
      <c r="E31" s="912"/>
      <c r="F31" s="909"/>
      <c r="G31" s="915"/>
      <c r="H31" s="420" t="str">
        <f>$B$14&amp;"-"&amp;$E$30&amp;"-"&amp;J31</f>
        <v>2-8-2</v>
      </c>
      <c r="I31" s="421" t="str">
        <f t="shared" si="0"/>
        <v>2-8-2-نعم - يتم ذلك بشكل متكامل</v>
      </c>
      <c r="J31" s="420">
        <v>2</v>
      </c>
      <c r="K31" s="382" t="s">
        <v>517</v>
      </c>
      <c r="L31" s="949"/>
      <c r="M31" s="382" t="s">
        <v>140</v>
      </c>
      <c r="N31" s="422" t="s">
        <v>518</v>
      </c>
      <c r="O31" s="304" t="s">
        <v>546</v>
      </c>
      <c r="P31" s="466">
        <f>IF(AND(I31="",P30=0),0,IF(I31="","",IF(P30="-",INDEX('النماذج (الأصل)'!$AC$3:$AE$210,MATCH(I31,'النماذج (الأصل)'!$AC$3:$AC$210,0),3),0)))</f>
        <v>4</v>
      </c>
      <c r="Q31" s="974"/>
      <c r="R31" s="967"/>
      <c r="S31" s="987"/>
    </row>
    <row r="32" spans="1:68" ht="70.5" thickBot="1" x14ac:dyDescent="0.55000000000000004">
      <c r="A32" s="961"/>
      <c r="B32" s="918"/>
      <c r="C32" s="920"/>
      <c r="D32" s="922"/>
      <c r="E32" s="396">
        <v>9</v>
      </c>
      <c r="F32" s="397">
        <v>3</v>
      </c>
      <c r="G32" s="398" t="s">
        <v>217</v>
      </c>
      <c r="H32" s="399" t="str">
        <f>$B$14&amp;"-"&amp;$E$32&amp;"-"&amp;J32</f>
        <v>2-9-1</v>
      </c>
      <c r="I32" s="400" t="str">
        <f t="shared" si="0"/>
        <v>2-9-1-نعم - يتم ذلك بشكل متكامل</v>
      </c>
      <c r="J32" s="399">
        <v>1</v>
      </c>
      <c r="K32" s="401" t="s">
        <v>218</v>
      </c>
      <c r="L32" s="402">
        <v>3</v>
      </c>
      <c r="M32" s="401" t="s">
        <v>140</v>
      </c>
      <c r="N32" s="403" t="s">
        <v>219</v>
      </c>
      <c r="O32" s="305" t="s">
        <v>546</v>
      </c>
      <c r="P32" s="463">
        <f>IF(I32="","",INDEX('النماذج (الأصل)'!$AC$3:$AE$210,MATCH(I32,'النماذج (الأصل)'!$AC$3:$AC$210,0),3))</f>
        <v>3</v>
      </c>
      <c r="Q32" s="464">
        <f>IF(P32="",0,P32)</f>
        <v>3</v>
      </c>
      <c r="R32" s="328">
        <f>Q32</f>
        <v>3</v>
      </c>
      <c r="S32" s="987"/>
    </row>
    <row r="33" spans="1:57" ht="69.75" x14ac:dyDescent="0.5">
      <c r="A33" s="961"/>
      <c r="B33" s="918"/>
      <c r="C33" s="920"/>
      <c r="D33" s="922"/>
      <c r="E33" s="910">
        <v>10</v>
      </c>
      <c r="F33" s="907">
        <v>2</v>
      </c>
      <c r="G33" s="913" t="s">
        <v>221</v>
      </c>
      <c r="H33" s="424" t="str">
        <f>$B$14&amp;"-"&amp;$E$33&amp;"-"&amp;J33</f>
        <v>2-10-1</v>
      </c>
      <c r="I33" s="425" t="str">
        <f t="shared" si="0"/>
        <v>2-10-1-نعم - يتم ذلك بشكل متكامل</v>
      </c>
      <c r="J33" s="424">
        <v>1</v>
      </c>
      <c r="K33" s="426" t="s">
        <v>222</v>
      </c>
      <c r="L33" s="424">
        <v>1</v>
      </c>
      <c r="M33" s="426" t="s">
        <v>140</v>
      </c>
      <c r="N33" s="427" t="s">
        <v>223</v>
      </c>
      <c r="O33" s="306" t="s">
        <v>546</v>
      </c>
      <c r="P33" s="467">
        <f>IF(I33="","",INDEX('النماذج (الأصل)'!$AC$3:$AE$210,MATCH(I33,'النماذج (الأصل)'!$AC$3:$AC$210,0),3))</f>
        <v>1</v>
      </c>
      <c r="Q33" s="468">
        <f>IF(P33="",0,P33)</f>
        <v>1</v>
      </c>
      <c r="R33" s="966">
        <f>SUM(Q33:Q34)</f>
        <v>2</v>
      </c>
      <c r="S33" s="987"/>
      <c r="BE33" s="268"/>
    </row>
    <row r="34" spans="1:57" ht="93.75" thickBot="1" x14ac:dyDescent="0.55000000000000004">
      <c r="A34" s="961"/>
      <c r="B34" s="918"/>
      <c r="C34" s="920"/>
      <c r="D34" s="922"/>
      <c r="E34" s="911"/>
      <c r="F34" s="908"/>
      <c r="G34" s="914"/>
      <c r="H34" s="384" t="str">
        <f t="shared" ref="H34" si="8">$B$14&amp;"-"&amp;$E$33&amp;"-"&amp;J34</f>
        <v>2-10-2</v>
      </c>
      <c r="I34" s="385" t="str">
        <f t="shared" si="0"/>
        <v>2-10-2-نعم - يتم ذلك بشكل متكامل</v>
      </c>
      <c r="J34" s="384">
        <v>2</v>
      </c>
      <c r="K34" s="386" t="s">
        <v>498</v>
      </c>
      <c r="L34" s="384">
        <v>1</v>
      </c>
      <c r="M34" s="386" t="s">
        <v>140</v>
      </c>
      <c r="N34" s="395" t="s">
        <v>225</v>
      </c>
      <c r="O34" s="307" t="s">
        <v>546</v>
      </c>
      <c r="P34" s="462">
        <f>IF(I34="","",INDEX('النماذج (الأصل)'!$AC$3:$AE$210,MATCH(I34,'النماذج (الأصل)'!$AC$3:$AC$210,0),3))</f>
        <v>1</v>
      </c>
      <c r="Q34" s="392">
        <f t="shared" ref="Q34:Q39" si="9">IF(P34="",0,P34)</f>
        <v>1</v>
      </c>
      <c r="R34" s="968"/>
      <c r="S34" s="987"/>
      <c r="BE34" s="268"/>
    </row>
    <row r="35" spans="1:57" ht="70.5" thickBot="1" x14ac:dyDescent="0.55000000000000004">
      <c r="A35" s="962"/>
      <c r="B35" s="919"/>
      <c r="C35" s="921"/>
      <c r="D35" s="923"/>
      <c r="E35" s="396">
        <v>11</v>
      </c>
      <c r="F35" s="397">
        <v>3</v>
      </c>
      <c r="G35" s="398" t="s">
        <v>38</v>
      </c>
      <c r="H35" s="402" t="str">
        <f>$B$14&amp;"-"&amp;$E$35&amp;"-"&amp;J35</f>
        <v>2-11-1</v>
      </c>
      <c r="I35" s="428" t="str">
        <f t="shared" si="0"/>
        <v>2-11-1-نعم - يتم ذلك بشكل متكامل</v>
      </c>
      <c r="J35" s="402">
        <v>1</v>
      </c>
      <c r="K35" s="401" t="s">
        <v>499</v>
      </c>
      <c r="L35" s="402">
        <v>3</v>
      </c>
      <c r="M35" s="401" t="s">
        <v>140</v>
      </c>
      <c r="N35" s="403" t="s">
        <v>227</v>
      </c>
      <c r="O35" s="305" t="s">
        <v>546</v>
      </c>
      <c r="P35" s="463">
        <f>IF(I35="","",INDEX('النماذج (الأصل)'!$AC$3:$AE$210,MATCH(I35,'النماذج (الأصل)'!$AC$3:$AC$210,0),3))</f>
        <v>3</v>
      </c>
      <c r="Q35" s="464">
        <f t="shared" si="9"/>
        <v>3</v>
      </c>
      <c r="R35" s="328">
        <f>Q35</f>
        <v>3</v>
      </c>
      <c r="S35" s="988"/>
      <c r="BE35" s="268"/>
    </row>
    <row r="36" spans="1:57" ht="47.25" thickTop="1" x14ac:dyDescent="0.5">
      <c r="A36" s="937" t="s">
        <v>228</v>
      </c>
      <c r="B36" s="940">
        <v>3</v>
      </c>
      <c r="C36" s="943" t="s">
        <v>229</v>
      </c>
      <c r="D36" s="931">
        <v>0.1</v>
      </c>
      <c r="E36" s="910">
        <v>12</v>
      </c>
      <c r="F36" s="907">
        <v>4</v>
      </c>
      <c r="G36" s="429" t="s">
        <v>230</v>
      </c>
      <c r="H36" s="416" t="str">
        <f>$B$36&amp;"-"&amp;$E$36&amp;"-"&amp;J36</f>
        <v>3-12-1</v>
      </c>
      <c r="I36" s="417" t="str">
        <f t="shared" si="0"/>
        <v>3-12-1-نعم - يوجد</v>
      </c>
      <c r="J36" s="416">
        <v>1</v>
      </c>
      <c r="K36" s="378" t="s">
        <v>231</v>
      </c>
      <c r="L36" s="416">
        <v>3</v>
      </c>
      <c r="M36" s="423" t="s">
        <v>140</v>
      </c>
      <c r="N36" s="379" t="s">
        <v>232</v>
      </c>
      <c r="O36" s="308" t="s">
        <v>547</v>
      </c>
      <c r="P36" s="389">
        <f>IF(I36="","",INDEX('النماذج (الأصل)'!$AC$3:$AE$210,MATCH(I36,'النماذج (الأصل)'!$AC$3:$AC$210,0),3))</f>
        <v>3</v>
      </c>
      <c r="Q36" s="469">
        <f t="shared" si="9"/>
        <v>3</v>
      </c>
      <c r="R36" s="966">
        <f>SUM(Q36:Q37)</f>
        <v>4</v>
      </c>
      <c r="S36" s="989">
        <f>IF(AH6&gt;0,"الإجابات ناقصة",SUM(R36:R39))</f>
        <v>10</v>
      </c>
      <c r="BE36" s="268"/>
    </row>
    <row r="37" spans="1:57" ht="93.75" thickBot="1" x14ac:dyDescent="0.55000000000000004">
      <c r="A37" s="938"/>
      <c r="B37" s="941"/>
      <c r="C37" s="944"/>
      <c r="D37" s="922"/>
      <c r="E37" s="912"/>
      <c r="F37" s="909"/>
      <c r="G37" s="413" t="s">
        <v>234</v>
      </c>
      <c r="H37" s="420" t="str">
        <f>$B$36&amp;"-"&amp;$E$36&amp;"-"&amp;J37</f>
        <v>3-12-2</v>
      </c>
      <c r="I37" s="421" t="str">
        <f t="shared" si="0"/>
        <v>3-12-2-نعم - تم ذلك</v>
      </c>
      <c r="J37" s="420">
        <v>2</v>
      </c>
      <c r="K37" s="382" t="s">
        <v>519</v>
      </c>
      <c r="L37" s="420">
        <v>1</v>
      </c>
      <c r="M37" s="430" t="s">
        <v>140</v>
      </c>
      <c r="N37" s="383" t="s">
        <v>520</v>
      </c>
      <c r="O37" s="309" t="s">
        <v>548</v>
      </c>
      <c r="P37" s="390">
        <f>IF(AND(I37="",P36=0),0,IF(I37="","",INDEX('النماذج (الأصل)'!$AC$3:$AE$210,MATCH(I37,'النماذج (الأصل)'!$AC$3:$AC$210,0),3)))</f>
        <v>1</v>
      </c>
      <c r="Q37" s="470">
        <f>IF(OR(P36=0,P37=""),0,P37)</f>
        <v>1</v>
      </c>
      <c r="R37" s="967"/>
      <c r="S37" s="990"/>
      <c r="BE37" s="268"/>
    </row>
    <row r="38" spans="1:57" ht="70.5" thickBot="1" x14ac:dyDescent="0.55000000000000004">
      <c r="A38" s="938"/>
      <c r="B38" s="941"/>
      <c r="C38" s="944"/>
      <c r="D38" s="922"/>
      <c r="E38" s="396">
        <v>13</v>
      </c>
      <c r="F38" s="397">
        <v>2</v>
      </c>
      <c r="G38" s="398" t="s">
        <v>238</v>
      </c>
      <c r="H38" s="402" t="str">
        <f>$B$36&amp;"-"&amp;$E$38&amp;"-"&amp;J38</f>
        <v>3-13-1</v>
      </c>
      <c r="I38" s="428" t="str">
        <f t="shared" si="0"/>
        <v>3-13-1-نعم - متحققة بشكل متكامل</v>
      </c>
      <c r="J38" s="402">
        <v>1</v>
      </c>
      <c r="K38" s="401" t="s">
        <v>500</v>
      </c>
      <c r="L38" s="402">
        <v>2</v>
      </c>
      <c r="M38" s="401" t="s">
        <v>140</v>
      </c>
      <c r="N38" s="403" t="s">
        <v>240</v>
      </c>
      <c r="O38" s="305" t="s">
        <v>549</v>
      </c>
      <c r="P38" s="463">
        <f>IF(I38="","",INDEX('النماذج (الأصل)'!$AC$3:$AE$210,MATCH(I38,'النماذج (الأصل)'!$AC$3:$AC$210,0),3))</f>
        <v>2</v>
      </c>
      <c r="Q38" s="464">
        <f t="shared" si="9"/>
        <v>2</v>
      </c>
      <c r="R38" s="328">
        <f>Q38</f>
        <v>2</v>
      </c>
      <c r="S38" s="990"/>
      <c r="BE38" s="268"/>
    </row>
    <row r="39" spans="1:57" ht="70.5" thickBot="1" x14ac:dyDescent="0.55000000000000004">
      <c r="A39" s="939"/>
      <c r="B39" s="942"/>
      <c r="C39" s="945"/>
      <c r="D39" s="923"/>
      <c r="E39" s="396">
        <v>14</v>
      </c>
      <c r="F39" s="397">
        <v>4</v>
      </c>
      <c r="G39" s="398" t="s">
        <v>244</v>
      </c>
      <c r="H39" s="402" t="str">
        <f>$B$36&amp;"-"&amp;$E$39&amp;"-"&amp;J39</f>
        <v>3-14-1</v>
      </c>
      <c r="I39" s="428" t="str">
        <f t="shared" si="0"/>
        <v>3-14-1-نعم - يتم ذلك بشكل متكامل</v>
      </c>
      <c r="J39" s="402">
        <v>1</v>
      </c>
      <c r="K39" s="401" t="s">
        <v>501</v>
      </c>
      <c r="L39" s="402">
        <v>4</v>
      </c>
      <c r="M39" s="401" t="s">
        <v>140</v>
      </c>
      <c r="N39" s="403" t="s">
        <v>246</v>
      </c>
      <c r="O39" s="305" t="s">
        <v>546</v>
      </c>
      <c r="P39" s="463">
        <f>IF(I39="","",INDEX('النماذج (الأصل)'!$AC$3:$AE$210,MATCH(I39,'النماذج (الأصل)'!$AC$3:$AC$210,0),3))</f>
        <v>4</v>
      </c>
      <c r="Q39" s="464">
        <f t="shared" si="9"/>
        <v>4</v>
      </c>
      <c r="R39" s="328">
        <f>Q39</f>
        <v>4</v>
      </c>
      <c r="S39" s="988"/>
      <c r="BE39" s="268"/>
    </row>
    <row r="40" spans="1:57" ht="47.25" thickTop="1" x14ac:dyDescent="0.5">
      <c r="A40" s="937" t="s">
        <v>247</v>
      </c>
      <c r="B40" s="940">
        <v>4</v>
      </c>
      <c r="C40" s="943" t="s">
        <v>248</v>
      </c>
      <c r="D40" s="931">
        <v>0.06</v>
      </c>
      <c r="E40" s="910">
        <v>15</v>
      </c>
      <c r="F40" s="907">
        <v>3</v>
      </c>
      <c r="G40" s="952" t="s">
        <v>249</v>
      </c>
      <c r="H40" s="431" t="str">
        <f>$B$40&amp;"-"&amp;$E$40&amp;"-"&amp;J40</f>
        <v>4-15-1</v>
      </c>
      <c r="I40" s="432" t="str">
        <f t="shared" si="0"/>
        <v>4-15-1-نعم - يتم الانتقال إلى السؤال التالي</v>
      </c>
      <c r="J40" s="431">
        <v>1</v>
      </c>
      <c r="K40" s="426" t="s">
        <v>250</v>
      </c>
      <c r="L40" s="948">
        <v>2</v>
      </c>
      <c r="M40" s="426" t="s">
        <v>251</v>
      </c>
      <c r="N40" s="427" t="s">
        <v>252</v>
      </c>
      <c r="O40" s="306" t="s">
        <v>538</v>
      </c>
      <c r="P40" s="467" t="str">
        <f>IF(I40="","",INDEX('النماذج (الأصل)'!$AC$3:$AE$210,MATCH(I40,'النماذج (الأصل)'!$AC$3:$AC$210,0),3))</f>
        <v>-</v>
      </c>
      <c r="Q40" s="972">
        <f>IF(P40=3,3,SUM(P40:P41))</f>
        <v>2</v>
      </c>
      <c r="R40" s="966">
        <f>SUM(Q40:Q42)</f>
        <v>3</v>
      </c>
      <c r="S40" s="991">
        <f>IF(AH7&gt;0,"الإجابات ناقصة",SUM(R40:R47))</f>
        <v>6</v>
      </c>
      <c r="BE40" s="268"/>
    </row>
    <row r="41" spans="1:57" ht="69.75" x14ac:dyDescent="0.5">
      <c r="A41" s="938"/>
      <c r="B41" s="941"/>
      <c r="C41" s="944"/>
      <c r="D41" s="922"/>
      <c r="E41" s="911"/>
      <c r="F41" s="908"/>
      <c r="G41" s="953"/>
      <c r="H41" s="433" t="str">
        <f t="shared" ref="H41:H42" si="10">$B$40&amp;"-"&amp;$E$40&amp;"-"&amp;J41</f>
        <v>4-15-2</v>
      </c>
      <c r="I41" s="434" t="str">
        <f t="shared" si="0"/>
        <v>4-15-2-نعم - توجد</v>
      </c>
      <c r="J41" s="433">
        <v>2</v>
      </c>
      <c r="K41" s="411" t="s">
        <v>521</v>
      </c>
      <c r="L41" s="959"/>
      <c r="M41" s="411" t="s">
        <v>140</v>
      </c>
      <c r="N41" s="435" t="s">
        <v>522</v>
      </c>
      <c r="O41" s="310" t="s">
        <v>545</v>
      </c>
      <c r="P41" s="471">
        <f>IF(AND(I41="",P40=3),0,IF(I41="","",IF(P40=2,0,IF(P40="-",INDEX('النماذج (الأصل)'!$AC$3:$AE$210,MATCH(I41,'النماذج (الأصل)'!$AC$3:$AC$210,0),3),0))))</f>
        <v>2</v>
      </c>
      <c r="Q41" s="973"/>
      <c r="R41" s="968"/>
      <c r="S41" s="992"/>
      <c r="BE41" s="268"/>
    </row>
    <row r="42" spans="1:57" ht="47.25" thickBot="1" x14ac:dyDescent="0.55000000000000004">
      <c r="A42" s="938"/>
      <c r="B42" s="941"/>
      <c r="C42" s="944"/>
      <c r="D42" s="922"/>
      <c r="E42" s="912"/>
      <c r="F42" s="909"/>
      <c r="G42" s="954"/>
      <c r="H42" s="420" t="str">
        <f t="shared" si="10"/>
        <v>4-15-3</v>
      </c>
      <c r="I42" s="421" t="str">
        <f t="shared" si="0"/>
        <v>4-15-3-نعم - توجد بشكل متكامل</v>
      </c>
      <c r="J42" s="420">
        <v>3</v>
      </c>
      <c r="K42" s="382" t="s">
        <v>256</v>
      </c>
      <c r="L42" s="380">
        <v>1</v>
      </c>
      <c r="M42" s="382" t="s">
        <v>140</v>
      </c>
      <c r="N42" s="422" t="s">
        <v>257</v>
      </c>
      <c r="O42" s="311" t="s">
        <v>562</v>
      </c>
      <c r="P42" s="466">
        <f>IF(AND(I42="",P40=3),0,IF(I42="","",IF(P40=2,0,IF(P40="-",INDEX('النماذج (الأصل)'!$AC$3:$AE$210,MATCH(I42,'النماذج (الأصل)'!$AC$3:$AC$210,0),3),0))))</f>
        <v>1</v>
      </c>
      <c r="Q42" s="393">
        <f>IF(OR(P40=3,P42=""),0,P42)</f>
        <v>1</v>
      </c>
      <c r="R42" s="967"/>
      <c r="S42" s="992"/>
    </row>
    <row r="43" spans="1:57" ht="69.75" x14ac:dyDescent="0.5">
      <c r="A43" s="938"/>
      <c r="B43" s="941"/>
      <c r="C43" s="944"/>
      <c r="D43" s="922"/>
      <c r="E43" s="910">
        <v>16</v>
      </c>
      <c r="F43" s="907">
        <v>3</v>
      </c>
      <c r="G43" s="436" t="s">
        <v>259</v>
      </c>
      <c r="H43" s="431" t="str">
        <f>$B$40&amp;"-"&amp;$E$43&amp;"-"&amp;J43</f>
        <v>4-16-1</v>
      </c>
      <c r="I43" s="432" t="str">
        <f t="shared" si="0"/>
        <v>4-16-1-لا  - لا توجد أنشطة خارج أهداف المؤسسة</v>
      </c>
      <c r="J43" s="431">
        <v>1</v>
      </c>
      <c r="K43" s="426" t="s">
        <v>260</v>
      </c>
      <c r="L43" s="431">
        <v>1</v>
      </c>
      <c r="M43" s="437" t="s">
        <v>140</v>
      </c>
      <c r="N43" s="427" t="s">
        <v>261</v>
      </c>
      <c r="O43" s="306" t="s">
        <v>550</v>
      </c>
      <c r="P43" s="467">
        <f>IF(I43="","",INDEX('النماذج (الأصل)'!$AC$3:$AE$210,MATCH(I43,'النماذج (الأصل)'!$AC$3:$AC$210,0),3))</f>
        <v>1</v>
      </c>
      <c r="Q43" s="472">
        <f t="shared" ref="Q43" si="11">IF(P43="",0,P43)</f>
        <v>1</v>
      </c>
      <c r="R43" s="966">
        <f>SUM(Q43:Q47)</f>
        <v>3</v>
      </c>
      <c r="S43" s="992"/>
    </row>
    <row r="44" spans="1:57" ht="69.75" x14ac:dyDescent="0.5">
      <c r="A44" s="938"/>
      <c r="B44" s="941"/>
      <c r="C44" s="944"/>
      <c r="D44" s="922"/>
      <c r="E44" s="911"/>
      <c r="F44" s="908"/>
      <c r="G44" s="905" t="s">
        <v>523</v>
      </c>
      <c r="H44" s="433" t="str">
        <f t="shared" ref="H44:H47" si="12">$B$40&amp;"-"&amp;$E$43&amp;"-"&amp;J44</f>
        <v>4-16-2</v>
      </c>
      <c r="I44" s="434" t="str">
        <f t="shared" si="0"/>
        <v>4-16-2-نعم - يتم الانتقال إلى السؤال التالي</v>
      </c>
      <c r="J44" s="433">
        <v>2</v>
      </c>
      <c r="K44" s="411" t="s">
        <v>524</v>
      </c>
      <c r="L44" s="978">
        <v>1</v>
      </c>
      <c r="M44" s="438" t="s">
        <v>140</v>
      </c>
      <c r="N44" s="435" t="s">
        <v>266</v>
      </c>
      <c r="O44" s="310" t="s">
        <v>538</v>
      </c>
      <c r="P44" s="471" t="str">
        <f>IF(I44="","",INDEX('النماذج (الأصل)'!$AC$3:$AE$210,MATCH(I44,'النماذج (الأصل)'!$AC$3:$AC$210,0),3))</f>
        <v>-</v>
      </c>
      <c r="Q44" s="975">
        <f>IF(P44=1,1,SUM(P44:P45))</f>
        <v>1</v>
      </c>
      <c r="R44" s="968"/>
      <c r="S44" s="992"/>
    </row>
    <row r="45" spans="1:57" ht="36.75" x14ac:dyDescent="0.5">
      <c r="A45" s="938"/>
      <c r="B45" s="941"/>
      <c r="C45" s="944"/>
      <c r="D45" s="922"/>
      <c r="E45" s="911"/>
      <c r="F45" s="908"/>
      <c r="G45" s="906"/>
      <c r="H45" s="433" t="str">
        <f t="shared" si="12"/>
        <v>4-16-3</v>
      </c>
      <c r="I45" s="434" t="str">
        <f t="shared" si="0"/>
        <v>4-16-3-نعم - توجد</v>
      </c>
      <c r="J45" s="433">
        <v>3</v>
      </c>
      <c r="K45" s="411" t="s">
        <v>268</v>
      </c>
      <c r="L45" s="979"/>
      <c r="M45" s="438" t="s">
        <v>140</v>
      </c>
      <c r="N45" s="435" t="s">
        <v>269</v>
      </c>
      <c r="O45" s="310" t="s">
        <v>545</v>
      </c>
      <c r="P45" s="471">
        <f>IF(AND(I45="",P44=1),0,IF(I45="","",IF(P44=1,0,IF(P44="-",INDEX('النماذج (الأصل)'!$AC$3:$AE$210,MATCH(I45,'النماذج (الأصل)'!$AC$3:$AC$210,0),3),0))))</f>
        <v>1</v>
      </c>
      <c r="Q45" s="976"/>
      <c r="R45" s="968"/>
      <c r="S45" s="992"/>
    </row>
    <row r="46" spans="1:57" ht="69.75" x14ac:dyDescent="0.5">
      <c r="A46" s="938"/>
      <c r="B46" s="941"/>
      <c r="C46" s="944"/>
      <c r="D46" s="922"/>
      <c r="E46" s="911"/>
      <c r="F46" s="908"/>
      <c r="G46" s="905" t="s">
        <v>270</v>
      </c>
      <c r="H46" s="433" t="str">
        <f t="shared" si="12"/>
        <v>4-16-4</v>
      </c>
      <c r="I46" s="434" t="str">
        <f t="shared" si="0"/>
        <v>4-16-4-نعم - يتم الانتقال إلى السؤال التالي</v>
      </c>
      <c r="J46" s="433">
        <v>4</v>
      </c>
      <c r="K46" s="411" t="s">
        <v>271</v>
      </c>
      <c r="L46" s="978">
        <v>1</v>
      </c>
      <c r="M46" s="438" t="s">
        <v>140</v>
      </c>
      <c r="N46" s="435" t="s">
        <v>272</v>
      </c>
      <c r="O46" s="310" t="s">
        <v>538</v>
      </c>
      <c r="P46" s="471" t="str">
        <f>IF(I46="","",INDEX('النماذج (الأصل)'!$AC$3:$AE$210,MATCH(I46,'النماذج (الأصل)'!$AC$3:$AC$210,0),3))</f>
        <v>-</v>
      </c>
      <c r="Q46" s="975">
        <f>IF(P46=1,1,SUM(P46:P47))</f>
        <v>1</v>
      </c>
      <c r="R46" s="968"/>
      <c r="S46" s="992"/>
    </row>
    <row r="47" spans="1:57" ht="47.25" thickBot="1" x14ac:dyDescent="0.55000000000000004">
      <c r="A47" s="939"/>
      <c r="B47" s="942"/>
      <c r="C47" s="945"/>
      <c r="D47" s="923"/>
      <c r="E47" s="912"/>
      <c r="F47" s="909"/>
      <c r="G47" s="915"/>
      <c r="H47" s="420" t="str">
        <f t="shared" si="12"/>
        <v>4-16-5</v>
      </c>
      <c r="I47" s="421" t="str">
        <f t="shared" si="0"/>
        <v>4-16-5-نعم - توجد</v>
      </c>
      <c r="J47" s="420">
        <v>5</v>
      </c>
      <c r="K47" s="382" t="s">
        <v>273</v>
      </c>
      <c r="L47" s="980"/>
      <c r="M47" s="430" t="s">
        <v>140</v>
      </c>
      <c r="N47" s="422" t="s">
        <v>274</v>
      </c>
      <c r="O47" s="311" t="s">
        <v>545</v>
      </c>
      <c r="P47" s="466">
        <f>IF(AND(I47="",P46=1),0,IF(I47="","",IF(P46=1,0,IF(P46="-",INDEX('النماذج (الأصل)'!$AC$3:$AE$210,MATCH(I47,'النماذج (الأصل)'!$AC$3:$AC$210,0),3),0))))</f>
        <v>1</v>
      </c>
      <c r="Q47" s="977"/>
      <c r="R47" s="967"/>
      <c r="S47" s="992"/>
    </row>
    <row r="48" spans="1:57" ht="47.25" thickTop="1" x14ac:dyDescent="0.5">
      <c r="A48" s="937" t="s">
        <v>276</v>
      </c>
      <c r="B48" s="940">
        <v>5</v>
      </c>
      <c r="C48" s="943" t="s">
        <v>277</v>
      </c>
      <c r="D48" s="931">
        <v>0.1</v>
      </c>
      <c r="E48" s="910">
        <v>17</v>
      </c>
      <c r="F48" s="907">
        <v>10</v>
      </c>
      <c r="G48" s="429" t="s">
        <v>278</v>
      </c>
      <c r="H48" s="431" t="str">
        <f>$B$48&amp;"-"&amp;$E$48&amp;"-"&amp;J48</f>
        <v>5-17-1</v>
      </c>
      <c r="I48" s="432" t="str">
        <f t="shared" si="0"/>
        <v>5-17-1-نعم - يتم الانتقال إلى السؤال التالي</v>
      </c>
      <c r="J48" s="431">
        <v>1</v>
      </c>
      <c r="K48" s="426" t="s">
        <v>279</v>
      </c>
      <c r="L48" s="948">
        <v>6</v>
      </c>
      <c r="M48" s="426" t="s">
        <v>158</v>
      </c>
      <c r="N48" s="427" t="s">
        <v>489</v>
      </c>
      <c r="O48" s="306" t="s">
        <v>538</v>
      </c>
      <c r="P48" s="467" t="str">
        <f>IF(I48="","",INDEX('النماذج (الأصل)'!$AC$3:$AE$210,MATCH(I48,'النماذج (الأصل)'!$AC$3:$AC$210,0),3))</f>
        <v>-</v>
      </c>
      <c r="Q48" s="972">
        <f>IF(P48=0,0,SUM(P48:P49))</f>
        <v>6</v>
      </c>
      <c r="R48" s="966">
        <f>SUM(Q48:Q50)</f>
        <v>10</v>
      </c>
      <c r="S48" s="989">
        <f>IF(AH8&gt;0,"الإجابات ناقصة",R48)</f>
        <v>10</v>
      </c>
    </row>
    <row r="49" spans="1:19" ht="69.75" x14ac:dyDescent="0.5">
      <c r="A49" s="938"/>
      <c r="B49" s="941"/>
      <c r="C49" s="944"/>
      <c r="D49" s="922"/>
      <c r="E49" s="911"/>
      <c r="F49" s="908"/>
      <c r="G49" s="439" t="s">
        <v>280</v>
      </c>
      <c r="H49" s="433" t="str">
        <f t="shared" ref="H49:H50" si="13">$B$48&amp;"-"&amp;$E$48&amp;"-"&amp;J49</f>
        <v>5-17-2</v>
      </c>
      <c r="I49" s="434" t="str">
        <f t="shared" si="0"/>
        <v>5-17-2-نعم - تم ذلك</v>
      </c>
      <c r="J49" s="433">
        <v>2</v>
      </c>
      <c r="K49" s="411" t="s">
        <v>525</v>
      </c>
      <c r="L49" s="959"/>
      <c r="M49" s="411" t="s">
        <v>140</v>
      </c>
      <c r="N49" s="435" t="s">
        <v>526</v>
      </c>
      <c r="O49" s="310" t="s">
        <v>548</v>
      </c>
      <c r="P49" s="471">
        <f>IF(AND(I49="",P48=0),0,IF(I49="","",IF(P48="-",INDEX('النماذج (الأصل)'!$AC$3:$AE$210,MATCH(I49,'النماذج (الأصل)'!$AC$3:$AC$210,0),3),0)))</f>
        <v>6</v>
      </c>
      <c r="Q49" s="973"/>
      <c r="R49" s="968"/>
      <c r="S49" s="990"/>
    </row>
    <row r="50" spans="1:19" ht="47.25" thickBot="1" x14ac:dyDescent="0.55000000000000004">
      <c r="A50" s="939"/>
      <c r="B50" s="942"/>
      <c r="C50" s="945"/>
      <c r="D50" s="923"/>
      <c r="E50" s="912"/>
      <c r="F50" s="909"/>
      <c r="G50" s="413" t="s">
        <v>283</v>
      </c>
      <c r="H50" s="420" t="str">
        <f t="shared" si="13"/>
        <v>5-17-3</v>
      </c>
      <c r="I50" s="421" t="str">
        <f t="shared" si="0"/>
        <v>5-17-3-نعم - تم الإعداد</v>
      </c>
      <c r="J50" s="420">
        <v>3</v>
      </c>
      <c r="K50" s="382" t="s">
        <v>284</v>
      </c>
      <c r="L50" s="380">
        <v>4</v>
      </c>
      <c r="M50" s="382" t="s">
        <v>140</v>
      </c>
      <c r="N50" s="422" t="s">
        <v>285</v>
      </c>
      <c r="O50" s="311" t="s">
        <v>563</v>
      </c>
      <c r="P50" s="466">
        <f>IF(I50="","",INDEX('النماذج (الأصل)'!$AC$3:$AE$210,MATCH(I50,'النماذج (الأصل)'!$AC$3:$AC$210,0),3))</f>
        <v>4</v>
      </c>
      <c r="Q50" s="393">
        <f>IF(P50="",0,P50)</f>
        <v>4</v>
      </c>
      <c r="R50" s="967"/>
      <c r="S50" s="988"/>
    </row>
    <row r="51" spans="1:19" ht="47.25" thickTop="1" x14ac:dyDescent="0.5">
      <c r="A51" s="937" t="s">
        <v>288</v>
      </c>
      <c r="B51" s="940">
        <v>6</v>
      </c>
      <c r="C51" s="943" t="s">
        <v>289</v>
      </c>
      <c r="D51" s="931">
        <v>0.06</v>
      </c>
      <c r="E51" s="910">
        <v>18</v>
      </c>
      <c r="F51" s="907">
        <v>1</v>
      </c>
      <c r="G51" s="436" t="s">
        <v>505</v>
      </c>
      <c r="H51" s="431" t="str">
        <f>$B$51&amp;"-"&amp;$E$51&amp;"-"&amp;J51</f>
        <v>6-18-1</v>
      </c>
      <c r="I51" s="432" t="str">
        <f t="shared" si="0"/>
        <v>6-18-1-نعم - يتم الانتقال إلى السؤال التالي</v>
      </c>
      <c r="J51" s="431">
        <v>1</v>
      </c>
      <c r="K51" s="426" t="s">
        <v>291</v>
      </c>
      <c r="L51" s="955">
        <v>1</v>
      </c>
      <c r="M51" s="440" t="s">
        <v>158</v>
      </c>
      <c r="N51" s="427" t="s">
        <v>292</v>
      </c>
      <c r="O51" s="306" t="s">
        <v>538</v>
      </c>
      <c r="P51" s="467" t="str">
        <f>IF(I51="","",INDEX('النماذج (الأصل)'!$AC$3:$AE$210,MATCH(I51,'النماذج (الأصل)'!$AC$3:$AC$210,0),3))</f>
        <v>-</v>
      </c>
      <c r="Q51" s="994">
        <f>IF(P51=0,0,SUM(P51:P52))</f>
        <v>1</v>
      </c>
      <c r="R51" s="966">
        <f>Q51</f>
        <v>1</v>
      </c>
      <c r="S51" s="991">
        <f>IF(AH9&gt;0,"الإجابات ناقصة",SUM(R51:R57))</f>
        <v>6</v>
      </c>
    </row>
    <row r="52" spans="1:19" ht="47.25" thickBot="1" x14ac:dyDescent="0.55000000000000004">
      <c r="A52" s="938"/>
      <c r="B52" s="941"/>
      <c r="C52" s="944"/>
      <c r="D52" s="922"/>
      <c r="E52" s="912"/>
      <c r="F52" s="909"/>
      <c r="G52" s="413" t="s">
        <v>294</v>
      </c>
      <c r="H52" s="420" t="str">
        <f t="shared" ref="H52" si="14">$B$51&amp;"-"&amp;$E$51&amp;"-"&amp;J52</f>
        <v>6-18-2</v>
      </c>
      <c r="I52" s="421" t="str">
        <f t="shared" si="0"/>
        <v>6-18-2-نعم - تم ذلك</v>
      </c>
      <c r="J52" s="420">
        <v>2</v>
      </c>
      <c r="K52" s="382" t="s">
        <v>295</v>
      </c>
      <c r="L52" s="956"/>
      <c r="M52" s="441" t="s">
        <v>158</v>
      </c>
      <c r="N52" s="422" t="s">
        <v>292</v>
      </c>
      <c r="O52" s="311" t="s">
        <v>548</v>
      </c>
      <c r="P52" s="466">
        <f>IF(AND(I52="",P51=0),0,IF(I52="","",IF(P51="-",INDEX('النماذج (الأصل)'!$AC$3:$AE$210,MATCH(I52,'النماذج (الأصل)'!$AC$3:$AC$210,0),3),0)))</f>
        <v>1</v>
      </c>
      <c r="Q52" s="995"/>
      <c r="R52" s="967"/>
      <c r="S52" s="992"/>
    </row>
    <row r="53" spans="1:19" ht="47.25" thickBot="1" x14ac:dyDescent="0.55000000000000004">
      <c r="A53" s="938"/>
      <c r="B53" s="941"/>
      <c r="C53" s="944"/>
      <c r="D53" s="922"/>
      <c r="E53" s="910">
        <v>19</v>
      </c>
      <c r="F53" s="907">
        <v>2</v>
      </c>
      <c r="G53" s="436" t="s">
        <v>527</v>
      </c>
      <c r="H53" s="431" t="str">
        <f>$B$51&amp;"-"&amp;$E$53&amp;"-"&amp;J53</f>
        <v>6-19-1</v>
      </c>
      <c r="I53" s="432" t="str">
        <f t="shared" si="0"/>
        <v>6-19-1-نعم - يتم الانتقال إلى السؤال التالي</v>
      </c>
      <c r="J53" s="431">
        <v>1</v>
      </c>
      <c r="K53" s="426" t="s">
        <v>528</v>
      </c>
      <c r="L53" s="950">
        <v>2</v>
      </c>
      <c r="M53" s="378" t="s">
        <v>158</v>
      </c>
      <c r="N53" s="388" t="s">
        <v>529</v>
      </c>
      <c r="O53" s="312" t="s">
        <v>538</v>
      </c>
      <c r="P53" s="394" t="str">
        <f>IF(I53="","",INDEX('النماذج (الأصل)'!$AC$3:$AE$210,MATCH(I53,'النماذج (الأصل)'!$AC$3:$AC$210,0),3))</f>
        <v>-</v>
      </c>
      <c r="Q53" s="971">
        <f>IF(P53=0,0,SUM(P53:P54))</f>
        <v>2</v>
      </c>
      <c r="R53" s="966">
        <f>Q53</f>
        <v>2</v>
      </c>
      <c r="S53" s="992"/>
    </row>
    <row r="54" spans="1:19" ht="47.25" thickBot="1" x14ac:dyDescent="0.55000000000000004">
      <c r="A54" s="938"/>
      <c r="B54" s="941"/>
      <c r="C54" s="944"/>
      <c r="D54" s="922"/>
      <c r="E54" s="912"/>
      <c r="F54" s="909"/>
      <c r="G54" s="413" t="s">
        <v>506</v>
      </c>
      <c r="H54" s="442" t="str">
        <f>$B$51&amp;"-"&amp;$E$53&amp;"-"&amp;J54</f>
        <v>6-19-2</v>
      </c>
      <c r="I54" s="443" t="str">
        <f t="shared" si="0"/>
        <v>6-19-2-نعم - تم ذلك</v>
      </c>
      <c r="J54" s="442">
        <v>2</v>
      </c>
      <c r="K54" s="426" t="s">
        <v>530</v>
      </c>
      <c r="L54" s="957"/>
      <c r="M54" s="382" t="s">
        <v>158</v>
      </c>
      <c r="N54" s="422" t="s">
        <v>531</v>
      </c>
      <c r="O54" s="311" t="s">
        <v>548</v>
      </c>
      <c r="P54" s="473">
        <f>IF(AND(I54="",P53=0),0,IF(I54="","",IF(P53="-",INDEX('النماذج (الأصل)'!$AC$3:$AE$210,MATCH(I54,'النماذج (الأصل)'!$AC$3:$AC$210,0),3),0)))</f>
        <v>2</v>
      </c>
      <c r="Q54" s="970"/>
      <c r="R54" s="967"/>
      <c r="S54" s="992"/>
    </row>
    <row r="55" spans="1:19" ht="46.5" x14ac:dyDescent="0.5">
      <c r="A55" s="938"/>
      <c r="B55" s="941"/>
      <c r="C55" s="944"/>
      <c r="D55" s="922"/>
      <c r="E55" s="910">
        <v>20</v>
      </c>
      <c r="F55" s="907">
        <v>3</v>
      </c>
      <c r="G55" s="436" t="s">
        <v>302</v>
      </c>
      <c r="H55" s="431" t="str">
        <f>$B$51&amp;"-"&amp;$E$55&amp;"-"&amp;J55</f>
        <v>6-20-1</v>
      </c>
      <c r="I55" s="432" t="str">
        <f t="shared" si="0"/>
        <v>6-20-1-نعم - تم التحديد</v>
      </c>
      <c r="J55" s="431">
        <v>1</v>
      </c>
      <c r="K55" s="426" t="s">
        <v>303</v>
      </c>
      <c r="L55" s="431">
        <v>1</v>
      </c>
      <c r="M55" s="426" t="s">
        <v>158</v>
      </c>
      <c r="N55" s="427" t="s">
        <v>301</v>
      </c>
      <c r="O55" s="306" t="s">
        <v>551</v>
      </c>
      <c r="P55" s="467">
        <f>IF(I55="","",INDEX('النماذج (الأصل)'!$AC$3:$AE$210,MATCH(I55,'النماذج (الأصل)'!$AC$3:$AC$210,0),3))</f>
        <v>1</v>
      </c>
      <c r="Q55" s="472">
        <f>IF(P55="",0,P55)</f>
        <v>1</v>
      </c>
      <c r="R55" s="966">
        <f>SUM(Q55:Q57)</f>
        <v>3</v>
      </c>
      <c r="S55" s="992"/>
    </row>
    <row r="56" spans="1:19" ht="46.5" x14ac:dyDescent="0.5">
      <c r="A56" s="938"/>
      <c r="B56" s="941"/>
      <c r="C56" s="944"/>
      <c r="D56" s="922"/>
      <c r="E56" s="911"/>
      <c r="F56" s="908"/>
      <c r="G56" s="905" t="s">
        <v>306</v>
      </c>
      <c r="H56" s="433" t="str">
        <f t="shared" ref="H56:H57" si="15">$B$51&amp;"-"&amp;$E$55&amp;"-"&amp;J56</f>
        <v>6-20-2</v>
      </c>
      <c r="I56" s="434" t="str">
        <f t="shared" si="0"/>
        <v>6-20-2-نعم - يتم الانتقال إلى السؤال التالي</v>
      </c>
      <c r="J56" s="433">
        <v>2</v>
      </c>
      <c r="K56" s="411" t="s">
        <v>307</v>
      </c>
      <c r="L56" s="958">
        <v>2</v>
      </c>
      <c r="M56" s="411" t="s">
        <v>140</v>
      </c>
      <c r="N56" s="435" t="s">
        <v>308</v>
      </c>
      <c r="O56" s="310" t="s">
        <v>538</v>
      </c>
      <c r="P56" s="471" t="str">
        <f>IF(I56="","",INDEX('النماذج (الأصل)'!$AC$3:$AE$210,MATCH(I56,'النماذج (الأصل)'!$AC$3:$AC$210,0),3))</f>
        <v>-</v>
      </c>
      <c r="Q56" s="996">
        <f>IF(P56=2,2,SUM(P56:P57))</f>
        <v>2</v>
      </c>
      <c r="R56" s="968"/>
      <c r="S56" s="992"/>
    </row>
    <row r="57" spans="1:19" ht="47.25" thickBot="1" x14ac:dyDescent="0.55000000000000004">
      <c r="A57" s="939"/>
      <c r="B57" s="942"/>
      <c r="C57" s="945"/>
      <c r="D57" s="923"/>
      <c r="E57" s="912"/>
      <c r="F57" s="909"/>
      <c r="G57" s="915"/>
      <c r="H57" s="420" t="str">
        <f t="shared" si="15"/>
        <v>6-20-3</v>
      </c>
      <c r="I57" s="421" t="str">
        <f t="shared" si="0"/>
        <v>6-20-3-نعم - التزمت</v>
      </c>
      <c r="J57" s="420">
        <v>3</v>
      </c>
      <c r="K57" s="382" t="s">
        <v>310</v>
      </c>
      <c r="L57" s="956"/>
      <c r="M57" s="382" t="s">
        <v>140</v>
      </c>
      <c r="N57" s="422" t="s">
        <v>311</v>
      </c>
      <c r="O57" s="311" t="s">
        <v>564</v>
      </c>
      <c r="P57" s="466">
        <f>IF(AND(I57="",P56=2),0,IF(I57="","",IF(P56="-",INDEX('النماذج (الأصل)'!$AC$3:$AE$210,MATCH(I57,'النماذج (الأصل)'!$AC$3:$AC$210,0),3),0)))</f>
        <v>2</v>
      </c>
      <c r="Q57" s="995"/>
      <c r="R57" s="967"/>
      <c r="S57" s="993"/>
    </row>
    <row r="58" spans="1:19" ht="47.25" thickTop="1" x14ac:dyDescent="0.5">
      <c r="A58" s="937" t="s">
        <v>33</v>
      </c>
      <c r="B58" s="940">
        <v>7</v>
      </c>
      <c r="C58" s="943" t="s">
        <v>314</v>
      </c>
      <c r="D58" s="931">
        <v>0.12</v>
      </c>
      <c r="E58" s="910">
        <v>21</v>
      </c>
      <c r="F58" s="907">
        <v>6</v>
      </c>
      <c r="G58" s="436" t="s">
        <v>315</v>
      </c>
      <c r="H58" s="431" t="str">
        <f>$B$58&amp;"-"&amp;$E$58&amp;"-"&amp;J58</f>
        <v>7-21-1</v>
      </c>
      <c r="I58" s="432" t="str">
        <f t="shared" si="0"/>
        <v>7-21-1-نعم - جميع الموارد المالية ضمن الموارد المحدّدة.</v>
      </c>
      <c r="J58" s="431">
        <v>1</v>
      </c>
      <c r="K58" s="426" t="s">
        <v>316</v>
      </c>
      <c r="L58" s="424">
        <v>2</v>
      </c>
      <c r="M58" s="426" t="s">
        <v>158</v>
      </c>
      <c r="N58" s="427" t="s">
        <v>317</v>
      </c>
      <c r="O58" s="306" t="s">
        <v>552</v>
      </c>
      <c r="P58" s="467">
        <f>IF(I58="","",INDEX('النماذج (الأصل)'!$AC$3:$AE$210,MATCH(I58,'النماذج (الأصل)'!$AC$3:$AC$210,0),3))</f>
        <v>2</v>
      </c>
      <c r="Q58" s="468">
        <f t="shared" ref="Q58:Q59" si="16">IF(P58="",0,P58)</f>
        <v>2</v>
      </c>
      <c r="R58" s="966">
        <f>SUM(Q58:Q61)</f>
        <v>6</v>
      </c>
      <c r="S58" s="989">
        <f>IF(AH10&gt;0,"الإجابات ناقصة",SUM(R58:R65))</f>
        <v>12</v>
      </c>
    </row>
    <row r="59" spans="1:19" ht="69.75" x14ac:dyDescent="0.5">
      <c r="A59" s="938"/>
      <c r="B59" s="941"/>
      <c r="C59" s="944"/>
      <c r="D59" s="922"/>
      <c r="E59" s="911"/>
      <c r="F59" s="908"/>
      <c r="G59" s="444" t="s">
        <v>320</v>
      </c>
      <c r="H59" s="433" t="str">
        <f t="shared" ref="H59:H61" si="17">$B$58&amp;"-"&amp;$E$58&amp;"-"&amp;J59</f>
        <v>7-21-2</v>
      </c>
      <c r="I59" s="434" t="str">
        <f t="shared" si="0"/>
        <v>7-21-2-نعم - تم الالتزام بشكل متكامل</v>
      </c>
      <c r="J59" s="433">
        <v>2</v>
      </c>
      <c r="K59" s="411" t="s">
        <v>321</v>
      </c>
      <c r="L59" s="445">
        <v>2</v>
      </c>
      <c r="M59" s="411" t="s">
        <v>140</v>
      </c>
      <c r="N59" s="435" t="s">
        <v>322</v>
      </c>
      <c r="O59" s="310" t="s">
        <v>553</v>
      </c>
      <c r="P59" s="471">
        <f>IF(I59="","",INDEX('النماذج (الأصل)'!$AC$3:$AE$210,MATCH(I59,'النماذج (الأصل)'!$AC$3:$AC$210,0),3))</f>
        <v>2</v>
      </c>
      <c r="Q59" s="474">
        <f t="shared" si="16"/>
        <v>2</v>
      </c>
      <c r="R59" s="968"/>
      <c r="S59" s="990"/>
    </row>
    <row r="60" spans="1:19" ht="46.5" x14ac:dyDescent="0.5">
      <c r="A60" s="938"/>
      <c r="B60" s="941"/>
      <c r="C60" s="944"/>
      <c r="D60" s="922"/>
      <c r="E60" s="911"/>
      <c r="F60" s="908"/>
      <c r="G60" s="905" t="s">
        <v>326</v>
      </c>
      <c r="H60" s="433" t="str">
        <f t="shared" si="17"/>
        <v>7-21-3</v>
      </c>
      <c r="I60" s="434" t="str">
        <f t="shared" si="0"/>
        <v>7-21-3-نعم - يتم الانتقال إلى السؤال التالي</v>
      </c>
      <c r="J60" s="433">
        <v>3</v>
      </c>
      <c r="K60" s="411" t="s">
        <v>532</v>
      </c>
      <c r="L60" s="959">
        <v>2</v>
      </c>
      <c r="M60" s="411" t="s">
        <v>158</v>
      </c>
      <c r="N60" s="435" t="s">
        <v>328</v>
      </c>
      <c r="O60" s="310" t="s">
        <v>538</v>
      </c>
      <c r="P60" s="471" t="str">
        <f>IF(I60="","",INDEX('النماذج (الأصل)'!$AC$3:$AE$210,MATCH(I60,'النماذج (الأصل)'!$AC$3:$AC$210,0),3))</f>
        <v>-</v>
      </c>
      <c r="Q60" s="973">
        <f>IF(P60=2,2,SUM(P60:P61))</f>
        <v>2</v>
      </c>
      <c r="R60" s="968"/>
      <c r="S60" s="990"/>
    </row>
    <row r="61" spans="1:19" ht="37.5" thickBot="1" x14ac:dyDescent="0.55000000000000004">
      <c r="A61" s="938"/>
      <c r="B61" s="941"/>
      <c r="C61" s="944"/>
      <c r="D61" s="922"/>
      <c r="E61" s="912"/>
      <c r="F61" s="909"/>
      <c r="G61" s="915"/>
      <c r="H61" s="420" t="str">
        <f t="shared" si="17"/>
        <v>7-21-4</v>
      </c>
      <c r="I61" s="421" t="str">
        <f t="shared" si="0"/>
        <v>7-21-4-نعم - توجد موافقة</v>
      </c>
      <c r="J61" s="420">
        <v>4</v>
      </c>
      <c r="K61" s="382" t="s">
        <v>533</v>
      </c>
      <c r="L61" s="949"/>
      <c r="M61" s="382" t="s">
        <v>140</v>
      </c>
      <c r="N61" s="422" t="s">
        <v>534</v>
      </c>
      <c r="O61" s="311" t="s">
        <v>559</v>
      </c>
      <c r="P61" s="466">
        <f>IF(AND(I61="",P60=2),0,IF(I61="","",IF(P60="-",INDEX('النماذج (الأصل)'!$AC$3:$AE$210,MATCH(I61,'النماذج (الأصل)'!$AC$3:$AC$210,0),3),0)))</f>
        <v>2</v>
      </c>
      <c r="Q61" s="974"/>
      <c r="R61" s="967"/>
      <c r="S61" s="990"/>
    </row>
    <row r="62" spans="1:19" ht="46.5" x14ac:dyDescent="0.5">
      <c r="A62" s="938"/>
      <c r="B62" s="941"/>
      <c r="C62" s="944"/>
      <c r="D62" s="922"/>
      <c r="E62" s="910">
        <v>22</v>
      </c>
      <c r="F62" s="907">
        <v>3</v>
      </c>
      <c r="G62" s="913" t="s">
        <v>330</v>
      </c>
      <c r="H62" s="431" t="str">
        <f>$B$58&amp;"-"&amp;$E$62&amp;"-"&amp;J62</f>
        <v>7-22-6</v>
      </c>
      <c r="I62" s="432" t="str">
        <f t="shared" si="0"/>
        <v>7-22-6-نعم - يتم الانتقال إلى السؤال التالي</v>
      </c>
      <c r="J62" s="431">
        <v>6</v>
      </c>
      <c r="K62" s="426" t="s">
        <v>331</v>
      </c>
      <c r="L62" s="948">
        <v>3</v>
      </c>
      <c r="M62" s="426" t="s">
        <v>158</v>
      </c>
      <c r="N62" s="427" t="s">
        <v>332</v>
      </c>
      <c r="O62" s="306" t="s">
        <v>538</v>
      </c>
      <c r="P62" s="467" t="str">
        <f>IF(I62="","",INDEX('النماذج (الأصل)'!$AC$3:$AE$210,MATCH(I62,'النماذج (الأصل)'!$AC$3:$AC$210,0),3))</f>
        <v>-</v>
      </c>
      <c r="Q62" s="972">
        <f>IF(P62=3,3,SUM(P62:P63))</f>
        <v>3</v>
      </c>
      <c r="R62" s="966">
        <f>Q62</f>
        <v>3</v>
      </c>
      <c r="S62" s="990"/>
    </row>
    <row r="63" spans="1:19" ht="37.5" thickBot="1" x14ac:dyDescent="0.55000000000000004">
      <c r="A63" s="938"/>
      <c r="B63" s="941"/>
      <c r="C63" s="944"/>
      <c r="D63" s="922"/>
      <c r="E63" s="912"/>
      <c r="F63" s="909"/>
      <c r="G63" s="915"/>
      <c r="H63" s="420" t="str">
        <f t="shared" ref="H63" si="18">$B$58&amp;"-"&amp;$E$62&amp;"-"&amp;J63</f>
        <v>7-22-7</v>
      </c>
      <c r="I63" s="421" t="str">
        <f t="shared" si="0"/>
        <v>7-22-7-نعم - توجد موافقة</v>
      </c>
      <c r="J63" s="420">
        <v>7</v>
      </c>
      <c r="K63" s="382" t="s">
        <v>334</v>
      </c>
      <c r="L63" s="949"/>
      <c r="M63" s="382" t="s">
        <v>158</v>
      </c>
      <c r="N63" s="422" t="s">
        <v>335</v>
      </c>
      <c r="O63" s="311" t="s">
        <v>559</v>
      </c>
      <c r="P63" s="466">
        <f>IF(AND(I63="",P62=3),0,IF(I63="","",IF(P62="-",INDEX('النماذج (الأصل)'!$AC$3:$AE$210,MATCH(I63,'النماذج (الأصل)'!$AC$3:$AC$210,0),3),0)))</f>
        <v>3</v>
      </c>
      <c r="Q63" s="974"/>
      <c r="R63" s="967"/>
      <c r="S63" s="990"/>
    </row>
    <row r="64" spans="1:19" ht="46.5" x14ac:dyDescent="0.5">
      <c r="A64" s="938"/>
      <c r="B64" s="941"/>
      <c r="C64" s="944"/>
      <c r="D64" s="922"/>
      <c r="E64" s="910">
        <v>23</v>
      </c>
      <c r="F64" s="907">
        <v>3</v>
      </c>
      <c r="G64" s="436" t="s">
        <v>336</v>
      </c>
      <c r="H64" s="431" t="str">
        <f>$B$58&amp;"-"&amp;$E$64&amp;"-"&amp;J64</f>
        <v>7-23-1</v>
      </c>
      <c r="I64" s="432" t="str">
        <f t="shared" si="0"/>
        <v>7-23-1-نعم - يتم الانتقال إلى السؤال التالي</v>
      </c>
      <c r="J64" s="431">
        <v>1</v>
      </c>
      <c r="K64" s="426" t="s">
        <v>337</v>
      </c>
      <c r="L64" s="948">
        <v>3</v>
      </c>
      <c r="M64" s="426" t="s">
        <v>158</v>
      </c>
      <c r="N64" s="427" t="s">
        <v>338</v>
      </c>
      <c r="O64" s="306" t="s">
        <v>538</v>
      </c>
      <c r="P64" s="467" t="str">
        <f>IF(I64="","",INDEX('النماذج (الأصل)'!$AC$3:$AE$210,MATCH(I64,'النماذج (الأصل)'!$AC$3:$AC$210,0),3))</f>
        <v>-</v>
      </c>
      <c r="Q64" s="972">
        <f>IF(P64=3,3,SUM(P64:P65))</f>
        <v>3</v>
      </c>
      <c r="R64" s="966">
        <f>Q64</f>
        <v>3</v>
      </c>
      <c r="S64" s="990"/>
    </row>
    <row r="65" spans="1:63" ht="70.5" thickBot="1" x14ac:dyDescent="0.55000000000000004">
      <c r="A65" s="939"/>
      <c r="B65" s="942"/>
      <c r="C65" s="945"/>
      <c r="D65" s="923"/>
      <c r="E65" s="912"/>
      <c r="F65" s="909"/>
      <c r="G65" s="413" t="s">
        <v>340</v>
      </c>
      <c r="H65" s="420" t="str">
        <f t="shared" ref="H65" si="19">$B$58&amp;"-"&amp;$E$64&amp;"-"&amp;J65</f>
        <v>7-23-2</v>
      </c>
      <c r="I65" s="421" t="str">
        <f t="shared" si="0"/>
        <v>7-23-2-نعم - يوجد حساب مستقل + سجل لمصارف الزكاة .</v>
      </c>
      <c r="J65" s="420">
        <v>2</v>
      </c>
      <c r="K65" s="382" t="s">
        <v>341</v>
      </c>
      <c r="L65" s="949"/>
      <c r="M65" s="382" t="s">
        <v>140</v>
      </c>
      <c r="N65" s="422" t="s">
        <v>502</v>
      </c>
      <c r="O65" s="311" t="s">
        <v>565</v>
      </c>
      <c r="P65" s="466">
        <f>IF(AND(I65="",P64=3),0,IF(I65="","",IF(P64="-",INDEX('النماذج (الأصل)'!$AC$3:$AE$210,MATCH(I65,'النماذج (الأصل)'!$AC$3:$AC$210,0),3),0)))</f>
        <v>3</v>
      </c>
      <c r="Q65" s="974"/>
      <c r="R65" s="967"/>
      <c r="S65" s="988"/>
    </row>
    <row r="66" spans="1:63" ht="110.25" thickTop="1" thickBot="1" x14ac:dyDescent="0.55000000000000004">
      <c r="A66" s="446" t="s">
        <v>34</v>
      </c>
      <c r="B66" s="447">
        <v>8</v>
      </c>
      <c r="C66" s="448" t="s">
        <v>343</v>
      </c>
      <c r="D66" s="449">
        <v>0.04</v>
      </c>
      <c r="E66" s="396">
        <v>24</v>
      </c>
      <c r="F66" s="397">
        <v>4</v>
      </c>
      <c r="G66" s="398" t="s">
        <v>344</v>
      </c>
      <c r="H66" s="399" t="str">
        <f>$B$66&amp;"-"&amp;$E$66&amp;"-"&amp;J66</f>
        <v>8-24-1</v>
      </c>
      <c r="I66" s="400" t="str">
        <f t="shared" si="0"/>
        <v>8-24-1-نعم - يتم الحفظ بشكل متكامل</v>
      </c>
      <c r="J66" s="399">
        <v>1</v>
      </c>
      <c r="K66" s="401" t="s">
        <v>345</v>
      </c>
      <c r="L66" s="402">
        <v>4</v>
      </c>
      <c r="M66" s="401" t="s">
        <v>140</v>
      </c>
      <c r="N66" s="403" t="s">
        <v>503</v>
      </c>
      <c r="O66" s="305" t="s">
        <v>554</v>
      </c>
      <c r="P66" s="463">
        <f>IF(I66="","",INDEX('النماذج (الأصل)'!$AC$3:$AE$210,MATCH(I66,'النماذج (الأصل)'!$AC$3:$AC$210,0),3))</f>
        <v>4</v>
      </c>
      <c r="Q66" s="464">
        <f>IF(P66="",0,P66)</f>
        <v>4</v>
      </c>
      <c r="R66" s="328">
        <f>Q66</f>
        <v>4</v>
      </c>
      <c r="S66" s="316">
        <f>IF(AH11&gt;0,"الإجابات ناقصة",R66)</f>
        <v>4</v>
      </c>
    </row>
    <row r="67" spans="1:63" ht="47.25" thickTop="1" x14ac:dyDescent="0.5">
      <c r="A67" s="937" t="s">
        <v>350</v>
      </c>
      <c r="B67" s="940">
        <v>9</v>
      </c>
      <c r="C67" s="943" t="s">
        <v>351</v>
      </c>
      <c r="D67" s="931">
        <v>0.04</v>
      </c>
      <c r="E67" s="910">
        <v>25</v>
      </c>
      <c r="F67" s="907">
        <v>4</v>
      </c>
      <c r="G67" s="450" t="s">
        <v>508</v>
      </c>
      <c r="H67" s="431" t="str">
        <f>$B$67&amp;"-"&amp;$E$67&amp;"-"&amp;J67</f>
        <v>9-25-1</v>
      </c>
      <c r="I67" s="432" t="str">
        <f t="shared" si="0"/>
        <v>9-25-1-نعم - يتم الانتقال إلى السؤال التالي</v>
      </c>
      <c r="J67" s="431">
        <v>1</v>
      </c>
      <c r="K67" s="426" t="s">
        <v>353</v>
      </c>
      <c r="L67" s="950">
        <v>2</v>
      </c>
      <c r="M67" s="378" t="s">
        <v>158</v>
      </c>
      <c r="N67" s="388" t="s">
        <v>354</v>
      </c>
      <c r="O67" s="313" t="s">
        <v>538</v>
      </c>
      <c r="P67" s="475" t="str">
        <f>IF(I67="","",INDEX('النماذج (الأصل)'!$AC$3:$AE$210,MATCH(I67,'النماذج (الأصل)'!$AC$3:$AC$210,0),3))</f>
        <v>-</v>
      </c>
      <c r="Q67" s="971">
        <f>IF(P67=2,2,SUM(P67:P68))</f>
        <v>2</v>
      </c>
      <c r="R67" s="966">
        <f>SUM(Q67:Q69)</f>
        <v>4</v>
      </c>
      <c r="S67" s="991">
        <f>IF(AH12&gt;0,"الإجابات ناقصة",R67)</f>
        <v>4</v>
      </c>
    </row>
    <row r="68" spans="1:63" ht="46.5" x14ac:dyDescent="0.5">
      <c r="A68" s="938"/>
      <c r="B68" s="941"/>
      <c r="C68" s="944"/>
      <c r="D68" s="922"/>
      <c r="E68" s="911"/>
      <c r="F68" s="908"/>
      <c r="G68" s="451" t="s">
        <v>356</v>
      </c>
      <c r="H68" s="452" t="str">
        <f>$B$67&amp;"-"&amp;$E$67&amp;"-"&amp;J68</f>
        <v>9-25-2</v>
      </c>
      <c r="I68" s="453" t="str">
        <f t="shared" si="0"/>
        <v>9-25-2-نعم - توجد قرارات بشكل متكامل.</v>
      </c>
      <c r="J68" s="452">
        <v>2</v>
      </c>
      <c r="K68" s="454" t="s">
        <v>357</v>
      </c>
      <c r="L68" s="951"/>
      <c r="M68" s="411" t="s">
        <v>158</v>
      </c>
      <c r="N68" s="435" t="s">
        <v>223</v>
      </c>
      <c r="O68" s="314" t="s">
        <v>566</v>
      </c>
      <c r="P68" s="476">
        <f>IF(AND(I68="",P67=2),0,IF(I68="","",IF(P67="-",INDEX('النماذج (الأصل)'!$AC$3:$AE$210,MATCH(I68,'النماذج (الأصل)'!$AC$3:$AC$210,0),3),0)))</f>
        <v>2</v>
      </c>
      <c r="Q68" s="997"/>
      <c r="R68" s="968"/>
      <c r="S68" s="992"/>
    </row>
    <row r="69" spans="1:63" ht="70.5" thickBot="1" x14ac:dyDescent="0.55000000000000004">
      <c r="A69" s="939"/>
      <c r="B69" s="942"/>
      <c r="C69" s="945"/>
      <c r="D69" s="923"/>
      <c r="E69" s="946"/>
      <c r="F69" s="947"/>
      <c r="G69" s="455" t="s">
        <v>359</v>
      </c>
      <c r="H69" s="456" t="str">
        <f>$B$67&amp;"-"&amp;$E$67&amp;"-"&amp;J69</f>
        <v>9-25-3</v>
      </c>
      <c r="I69" s="457" t="str">
        <f t="shared" ref="I69" si="20">IF(O69="","",H69&amp;"-"&amp;O69)</f>
        <v>9-25-3-نعم - اشتملت على ذلك .</v>
      </c>
      <c r="J69" s="456">
        <v>3</v>
      </c>
      <c r="K69" s="458" t="s">
        <v>360</v>
      </c>
      <c r="L69" s="459">
        <v>2</v>
      </c>
      <c r="M69" s="458" t="s">
        <v>158</v>
      </c>
      <c r="N69" s="460" t="s">
        <v>504</v>
      </c>
      <c r="O69" s="315" t="s">
        <v>567</v>
      </c>
      <c r="P69" s="477">
        <f>IF(AND(I69="",P67=2),0,IF(I69="","",INDEX('النماذج (الأصل)'!$AC$3:$AE$210,MATCH(I69,'النماذج (الأصل)'!$AC$3:$AC$210,0),3)))</f>
        <v>2</v>
      </c>
      <c r="Q69" s="478">
        <f>IF(OR(P67=2,P69=""),0,P69)</f>
        <v>2</v>
      </c>
      <c r="R69" s="985"/>
      <c r="S69" s="993"/>
    </row>
    <row r="70" spans="1:63" s="349" customFormat="1" ht="15.75" thickTop="1" x14ac:dyDescent="0.35">
      <c r="D70" s="350">
        <f>SUM(D4:D69)</f>
        <v>0.99999999999999989</v>
      </c>
      <c r="E70" s="351"/>
      <c r="F70" s="351">
        <f>SUM(F4:F69)</f>
        <v>100</v>
      </c>
      <c r="G70" s="351"/>
      <c r="H70" s="351">
        <f>SUM(H4:H69)</f>
        <v>0</v>
      </c>
      <c r="I70" s="351"/>
      <c r="J70" s="351"/>
      <c r="L70" s="351"/>
      <c r="O70" s="352"/>
      <c r="P70" s="353">
        <f>SUM(P4:P69)</f>
        <v>100</v>
      </c>
      <c r="Q70" s="353">
        <f>SUM(Q4:Q69)</f>
        <v>100</v>
      </c>
      <c r="R70" s="353">
        <f>SUM(R4:R69)</f>
        <v>100</v>
      </c>
      <c r="S70" s="354">
        <f>IF(COUNTIF(S4:S69,"الإجابات ناقصة")&gt;0,"الإجابات ناقصة",SUM(S4:S69))</f>
        <v>100</v>
      </c>
      <c r="BA70" s="355"/>
      <c r="BB70" s="356"/>
      <c r="BC70" s="356"/>
      <c r="BD70" s="356"/>
      <c r="BE70" s="356"/>
      <c r="BF70" s="356"/>
      <c r="BG70" s="356"/>
      <c r="BH70" s="356"/>
      <c r="BI70" s="356"/>
      <c r="BJ70" s="356"/>
      <c r="BK70" s="356"/>
    </row>
  </sheetData>
  <sheetProtection algorithmName="SHA-512" hashValue="760V57a1BWwgSBgW0MpTYfCebYH0SPIHUfYg6HAuvoX/vwOcSLHnPZqWQrTQdquvpH2+X5il+lOAu2bO0bL26A==" saltValue="wwAB32fHHfoydhy3AKkSMQ==" spinCount="100000" sheet="1" selectLockedCells="1"/>
  <mergeCells count="152">
    <mergeCell ref="E1:M2"/>
    <mergeCell ref="Q1:R2"/>
    <mergeCell ref="R58:R61"/>
    <mergeCell ref="R64:R65"/>
    <mergeCell ref="R67:R69"/>
    <mergeCell ref="R62:R63"/>
    <mergeCell ref="S14:S35"/>
    <mergeCell ref="S36:S39"/>
    <mergeCell ref="S48:S50"/>
    <mergeCell ref="S58:S65"/>
    <mergeCell ref="S40:S47"/>
    <mergeCell ref="S51:S57"/>
    <mergeCell ref="S67:S69"/>
    <mergeCell ref="Q51:Q52"/>
    <mergeCell ref="Q53:Q54"/>
    <mergeCell ref="Q56:Q57"/>
    <mergeCell ref="Q60:Q61"/>
    <mergeCell ref="Q62:Q63"/>
    <mergeCell ref="Q64:Q65"/>
    <mergeCell ref="Q67:Q68"/>
    <mergeCell ref="S4:S13"/>
    <mergeCell ref="R4:R5"/>
    <mergeCell ref="R6:R10"/>
    <mergeCell ref="R11:R13"/>
    <mergeCell ref="R14:R16"/>
    <mergeCell ref="R18:R21"/>
    <mergeCell ref="R22:R29"/>
    <mergeCell ref="R30:R31"/>
    <mergeCell ref="R33:R34"/>
    <mergeCell ref="R36:R37"/>
    <mergeCell ref="R40:R42"/>
    <mergeCell ref="R43:R47"/>
    <mergeCell ref="R48:R50"/>
    <mergeCell ref="R51:R52"/>
    <mergeCell ref="R53:R54"/>
    <mergeCell ref="R55:R57"/>
    <mergeCell ref="Q4:Q5"/>
    <mergeCell ref="A40:A47"/>
    <mergeCell ref="Q6:Q7"/>
    <mergeCell ref="Q11:Q13"/>
    <mergeCell ref="Q15:Q16"/>
    <mergeCell ref="Q19:Q20"/>
    <mergeCell ref="Q30:Q31"/>
    <mergeCell ref="Q40:Q41"/>
    <mergeCell ref="Q44:Q45"/>
    <mergeCell ref="Q48:Q49"/>
    <mergeCell ref="Q46:Q47"/>
    <mergeCell ref="L30:L31"/>
    <mergeCell ref="L40:L41"/>
    <mergeCell ref="L44:L45"/>
    <mergeCell ref="L46:L47"/>
    <mergeCell ref="L11:L13"/>
    <mergeCell ref="L6:L7"/>
    <mergeCell ref="C36:C39"/>
    <mergeCell ref="B36:B39"/>
    <mergeCell ref="A36:A39"/>
    <mergeCell ref="G33:G34"/>
    <mergeCell ref="F33:F34"/>
    <mergeCell ref="E33:E34"/>
    <mergeCell ref="A14:A35"/>
    <mergeCell ref="B14:B35"/>
    <mergeCell ref="L4:L5"/>
    <mergeCell ref="L19:L20"/>
    <mergeCell ref="M19:M20"/>
    <mergeCell ref="L15:L16"/>
    <mergeCell ref="A48:A50"/>
    <mergeCell ref="B48:B50"/>
    <mergeCell ref="C48:C50"/>
    <mergeCell ref="D48:D50"/>
    <mergeCell ref="E48:E50"/>
    <mergeCell ref="F48:F50"/>
    <mergeCell ref="L48:L49"/>
    <mergeCell ref="G46:G47"/>
    <mergeCell ref="G44:G45"/>
    <mergeCell ref="F43:F47"/>
    <mergeCell ref="E43:E47"/>
    <mergeCell ref="F40:F42"/>
    <mergeCell ref="E40:E42"/>
    <mergeCell ref="D40:D47"/>
    <mergeCell ref="C40:C47"/>
    <mergeCell ref="B40:B47"/>
    <mergeCell ref="G40:G42"/>
    <mergeCell ref="F36:F37"/>
    <mergeCell ref="E36:E37"/>
    <mergeCell ref="D36:D39"/>
    <mergeCell ref="L51:L52"/>
    <mergeCell ref="L53:L54"/>
    <mergeCell ref="G56:G57"/>
    <mergeCell ref="L56:L57"/>
    <mergeCell ref="G60:G61"/>
    <mergeCell ref="L60:L61"/>
    <mergeCell ref="L62:L63"/>
    <mergeCell ref="L64:L65"/>
    <mergeCell ref="L67:L68"/>
    <mergeCell ref="A58:A65"/>
    <mergeCell ref="B58:B65"/>
    <mergeCell ref="C58:C65"/>
    <mergeCell ref="D58:D65"/>
    <mergeCell ref="E58:E61"/>
    <mergeCell ref="F58:F61"/>
    <mergeCell ref="E62:E63"/>
    <mergeCell ref="F62:F63"/>
    <mergeCell ref="E64:E65"/>
    <mergeCell ref="F64:F65"/>
    <mergeCell ref="E30:E31"/>
    <mergeCell ref="F30:F31"/>
    <mergeCell ref="E22:E29"/>
    <mergeCell ref="F22:F29"/>
    <mergeCell ref="G22:G25"/>
    <mergeCell ref="G26:G29"/>
    <mergeCell ref="G30:G31"/>
    <mergeCell ref="A67:A69"/>
    <mergeCell ref="B67:B69"/>
    <mergeCell ref="C67:C69"/>
    <mergeCell ref="D67:D69"/>
    <mergeCell ref="E67:E69"/>
    <mergeCell ref="F67:F69"/>
    <mergeCell ref="A51:A57"/>
    <mergeCell ref="B51:B57"/>
    <mergeCell ref="C51:C57"/>
    <mergeCell ref="D51:D57"/>
    <mergeCell ref="E51:E52"/>
    <mergeCell ref="F51:F52"/>
    <mergeCell ref="E53:E54"/>
    <mergeCell ref="F53:F54"/>
    <mergeCell ref="E55:E57"/>
    <mergeCell ref="F55:F57"/>
    <mergeCell ref="G62:G63"/>
    <mergeCell ref="A1:C2"/>
    <mergeCell ref="N1:N2"/>
    <mergeCell ref="O1:O2"/>
    <mergeCell ref="G19:G20"/>
    <mergeCell ref="F18:F21"/>
    <mergeCell ref="E18:E21"/>
    <mergeCell ref="G14:G16"/>
    <mergeCell ref="F14:F16"/>
    <mergeCell ref="E14:E16"/>
    <mergeCell ref="G6:G10"/>
    <mergeCell ref="G4:G5"/>
    <mergeCell ref="A4:A13"/>
    <mergeCell ref="B4:B13"/>
    <mergeCell ref="C4:C13"/>
    <mergeCell ref="D4:D13"/>
    <mergeCell ref="E4:E5"/>
    <mergeCell ref="F4:F5"/>
    <mergeCell ref="E6:E10"/>
    <mergeCell ref="F6:F10"/>
    <mergeCell ref="E11:E13"/>
    <mergeCell ref="F11:F13"/>
    <mergeCell ref="G11:G13"/>
    <mergeCell ref="C14:C35"/>
    <mergeCell ref="D14:D35"/>
  </mergeCells>
  <conditionalFormatting sqref="H5:P5">
    <cfRule type="expression" dxfId="65" priority="15">
      <formula>$P$4=0</formula>
    </cfRule>
  </conditionalFormatting>
  <conditionalFormatting sqref="H7:P10">
    <cfRule type="expression" dxfId="64" priority="14">
      <formula>$P$6=0</formula>
    </cfRule>
  </conditionalFormatting>
  <conditionalFormatting sqref="H12:P12">
    <cfRule type="expression" dxfId="63" priority="31">
      <formula>$P$11=2</formula>
    </cfRule>
  </conditionalFormatting>
  <conditionalFormatting sqref="H16:P16">
    <cfRule type="expression" dxfId="62" priority="12">
      <formula>$P$15=1</formula>
    </cfRule>
  </conditionalFormatting>
  <conditionalFormatting sqref="H13:P13">
    <cfRule type="expression" dxfId="61" priority="3">
      <formula>$P$11=2</formula>
    </cfRule>
    <cfRule type="expression" dxfId="60" priority="13">
      <formula>$P$12=0</formula>
    </cfRule>
  </conditionalFormatting>
  <conditionalFormatting sqref="H20:P20">
    <cfRule type="expression" dxfId="59" priority="29">
      <formula>$P$19=0</formula>
    </cfRule>
  </conditionalFormatting>
  <conditionalFormatting sqref="H31:P31">
    <cfRule type="expression" dxfId="58" priority="27">
      <formula>$P$30=0</formula>
    </cfRule>
  </conditionalFormatting>
  <conditionalFormatting sqref="H41:P41">
    <cfRule type="expression" dxfId="57" priority="24">
      <formula>$P$40=3</formula>
    </cfRule>
  </conditionalFormatting>
  <conditionalFormatting sqref="H47:P47">
    <cfRule type="expression" dxfId="56" priority="25">
      <formula>$P$46=1</formula>
    </cfRule>
  </conditionalFormatting>
  <conditionalFormatting sqref="H49:P49">
    <cfRule type="expression" dxfId="55" priority="23">
      <formula>$P$48=0</formula>
    </cfRule>
  </conditionalFormatting>
  <conditionalFormatting sqref="H52:P52">
    <cfRule type="expression" dxfId="54" priority="19">
      <formula>$P$51=0</formula>
    </cfRule>
  </conditionalFormatting>
  <conditionalFormatting sqref="H54:J54 L54:M54 O54:P54">
    <cfRule type="expression" dxfId="53" priority="17">
      <formula>$P$53=0</formula>
    </cfRule>
  </conditionalFormatting>
  <conditionalFormatting sqref="H61:P61">
    <cfRule type="expression" dxfId="52" priority="21">
      <formula>$P$60=2</formula>
    </cfRule>
  </conditionalFormatting>
  <conditionalFormatting sqref="H63:P63">
    <cfRule type="expression" dxfId="51" priority="8">
      <formula>$P$62=3</formula>
    </cfRule>
  </conditionalFormatting>
  <conditionalFormatting sqref="H65:P65">
    <cfRule type="expression" dxfId="50" priority="20">
      <formula>$P$64=3</formula>
    </cfRule>
  </conditionalFormatting>
  <conditionalFormatting sqref="H68:P69">
    <cfRule type="expression" dxfId="49" priority="7">
      <formula>$P$67=2</formula>
    </cfRule>
  </conditionalFormatting>
  <conditionalFormatting sqref="H57:P57">
    <cfRule type="expression" dxfId="48" priority="16">
      <formula>$P$56=2</formula>
    </cfRule>
  </conditionalFormatting>
  <conditionalFormatting sqref="AG4:AG12">
    <cfRule type="colorScale" priority="18">
      <colorScale>
        <cfvo type="num" val="0"/>
        <cfvo type="percentile" val="50"/>
        <cfvo type="num" val="1"/>
        <color rgb="FFF8696B"/>
        <color rgb="FFFFEB84"/>
        <color rgb="FF63BE7B"/>
      </colorScale>
    </cfRule>
  </conditionalFormatting>
  <conditionalFormatting sqref="H42:P42">
    <cfRule type="expression" dxfId="47" priority="9">
      <formula>$P$40=3</formula>
    </cfRule>
  </conditionalFormatting>
  <conditionalFormatting sqref="H45:P45">
    <cfRule type="expression" dxfId="46" priority="10">
      <formula>$P$44=1</formula>
    </cfRule>
  </conditionalFormatting>
  <conditionalFormatting sqref="O4:O5">
    <cfRule type="notContainsBlanks" dxfId="45" priority="37">
      <formula>LEN(TRIM(O4))&gt;0</formula>
    </cfRule>
  </conditionalFormatting>
  <conditionalFormatting sqref="O6:O10">
    <cfRule type="notContainsBlanks" dxfId="44" priority="36">
      <formula>LEN(TRIM(O6))&gt;0</formula>
    </cfRule>
  </conditionalFormatting>
  <conditionalFormatting sqref="O11:O13">
    <cfRule type="notContainsBlanks" dxfId="43" priority="35">
      <formula>LEN(TRIM(O11))&gt;0</formula>
    </cfRule>
  </conditionalFormatting>
  <conditionalFormatting sqref="O14:O16">
    <cfRule type="notContainsBlanks" dxfId="42" priority="32">
      <formula>LEN(TRIM(O14))&gt;0</formula>
    </cfRule>
  </conditionalFormatting>
  <conditionalFormatting sqref="O17">
    <cfRule type="notContainsBlanks" dxfId="41" priority="11">
      <formula>LEN(TRIM(O17))&gt;0</formula>
    </cfRule>
  </conditionalFormatting>
  <conditionalFormatting sqref="O18:O21 O30:O31 O33:O34 O43:O47 O51:O52 O55:O57 O66">
    <cfRule type="notContainsBlanks" dxfId="40" priority="30">
      <formula>LEN(TRIM(O18))&gt;0</formula>
    </cfRule>
  </conditionalFormatting>
  <conditionalFormatting sqref="O32 O35 O40:O42 O53:O54 O22:O29">
    <cfRule type="notContainsBlanks" dxfId="39" priority="28">
      <formula>LEN(TRIM(O22))&gt;0</formula>
    </cfRule>
  </conditionalFormatting>
  <conditionalFormatting sqref="O36:O37 O39 O62:O63">
    <cfRule type="notContainsBlanks" dxfId="38" priority="22">
      <formula>LEN(TRIM(O36))&gt;0</formula>
    </cfRule>
  </conditionalFormatting>
  <conditionalFormatting sqref="O38 O48:O50 O58:O61 O64:O65 O67:O69">
    <cfRule type="notContainsBlanks" dxfId="37" priority="26">
      <formula>LEN(TRIM(O38))&gt;0</formula>
    </cfRule>
  </conditionalFormatting>
  <conditionalFormatting sqref="S4:S69">
    <cfRule type="containsText" dxfId="36" priority="5" operator="containsText" text="الإجابات ناقصة">
      <formula>NOT(ISERROR(SEARCH("الإجابات ناقصة",S4)))</formula>
    </cfRule>
    <cfRule type="cellIs" dxfId="35" priority="6" operator="greaterThanOrEqual">
      <formula>0</formula>
    </cfRule>
  </conditionalFormatting>
  <conditionalFormatting sqref="O1:O2">
    <cfRule type="containsText" dxfId="34" priority="4" operator="containsText" text="لم يكتمل التقييم">
      <formula>NOT(ISERROR(SEARCH("لم يكتمل التقييم",O1)))</formula>
    </cfRule>
  </conditionalFormatting>
  <conditionalFormatting sqref="J37:P37">
    <cfRule type="expression" dxfId="33" priority="2">
      <formula>$P$36=0</formula>
    </cfRule>
  </conditionalFormatting>
  <conditionalFormatting sqref="N54">
    <cfRule type="expression" dxfId="32" priority="1">
      <formula>$P$51=0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6">
        <x14:dataValidation type="list" allowBlank="1" showInputMessage="1" showErrorMessage="1">
          <x14:formula1>
            <xm:f>'النماذج (الأصل)'!$AB$3:$AB$4</xm:f>
          </x14:formula1>
          <xm:sqref>O4</xm:sqref>
        </x14:dataValidation>
        <x14:dataValidation type="list" allowBlank="1" showInputMessage="1" showErrorMessage="1">
          <x14:formula1>
            <xm:f>'النماذج (الأصل)'!$AB$6:$AB$7</xm:f>
          </x14:formula1>
          <xm:sqref>O5</xm:sqref>
        </x14:dataValidation>
        <x14:dataValidation type="list" allowBlank="1" showInputMessage="1" showErrorMessage="1">
          <x14:formula1>
            <xm:f>'النماذج (الأصل)'!$AB$9:$AB$10</xm:f>
          </x14:formula1>
          <xm:sqref>O6</xm:sqref>
        </x14:dataValidation>
        <x14:dataValidation type="list" allowBlank="1" showInputMessage="1" showErrorMessage="1">
          <x14:formula1>
            <xm:f>'النماذج (الأصل)'!$AB$12:$AB$13</xm:f>
          </x14:formula1>
          <xm:sqref>O7</xm:sqref>
        </x14:dataValidation>
        <x14:dataValidation type="list" allowBlank="1" showInputMessage="1" showErrorMessage="1">
          <x14:formula1>
            <xm:f>'النماذج (الأصل)'!$AB$15:$AB$16</xm:f>
          </x14:formula1>
          <xm:sqref>O8</xm:sqref>
        </x14:dataValidation>
        <x14:dataValidation type="list" allowBlank="1" showInputMessage="1" showErrorMessage="1">
          <x14:formula1>
            <xm:f>'النماذج (الأصل)'!$AB$18:$AB$19</xm:f>
          </x14:formula1>
          <xm:sqref>O9</xm:sqref>
        </x14:dataValidation>
        <x14:dataValidation type="list" allowBlank="1" showInputMessage="1" showErrorMessage="1">
          <x14:formula1>
            <xm:f>'النماذج (الأصل)'!$AB$21:$AB$22</xm:f>
          </x14:formula1>
          <xm:sqref>O10</xm:sqref>
        </x14:dataValidation>
        <x14:dataValidation type="list" allowBlank="1" showInputMessage="1" showErrorMessage="1">
          <x14:formula1>
            <xm:f>'النماذج (الأصل)'!$AB$24:$AB$25</xm:f>
          </x14:formula1>
          <xm:sqref>O11</xm:sqref>
        </x14:dataValidation>
        <x14:dataValidation type="list" allowBlank="1" showInputMessage="1" showErrorMessage="1">
          <x14:formula1>
            <xm:f>'النماذج (الأصل)'!$AB$27:$AB$28</xm:f>
          </x14:formula1>
          <xm:sqref>O12</xm:sqref>
        </x14:dataValidation>
        <x14:dataValidation type="list" allowBlank="1" showInputMessage="1" showErrorMessage="1">
          <x14:formula1>
            <xm:f>'النماذج (الأصل)'!$AB$30:$AB$31</xm:f>
          </x14:formula1>
          <xm:sqref>O13</xm:sqref>
        </x14:dataValidation>
        <x14:dataValidation type="list" allowBlank="1" showInputMessage="1" showErrorMessage="1">
          <x14:formula1>
            <xm:f>'النماذج (الأصل)'!$AB$33:$AB$34</xm:f>
          </x14:formula1>
          <xm:sqref>O14</xm:sqref>
        </x14:dataValidation>
        <x14:dataValidation type="list" allowBlank="1" showInputMessage="1" showErrorMessage="1">
          <x14:formula1>
            <xm:f>'النماذج (الأصل)'!$AB$36:$AB$37</xm:f>
          </x14:formula1>
          <xm:sqref>O15</xm:sqref>
        </x14:dataValidation>
        <x14:dataValidation type="list" allowBlank="1" showInputMessage="1" showErrorMessage="1">
          <x14:formula1>
            <xm:f>'النماذج (الأصل)'!$AB$39:$AB$40</xm:f>
          </x14:formula1>
          <xm:sqref>O16</xm:sqref>
        </x14:dataValidation>
        <x14:dataValidation type="list" allowBlank="1" showInputMessage="1" showErrorMessage="1">
          <x14:formula1>
            <xm:f>'النماذج (الأصل)'!$AB$42:$AB$44</xm:f>
          </x14:formula1>
          <xm:sqref>O17</xm:sqref>
        </x14:dataValidation>
        <x14:dataValidation type="list" allowBlank="1" showInputMessage="1" showErrorMessage="1">
          <x14:formula1>
            <xm:f>'النماذج (الأصل)'!$AB$46:$AB$47</xm:f>
          </x14:formula1>
          <xm:sqref>O18</xm:sqref>
        </x14:dataValidation>
        <x14:dataValidation type="list" allowBlank="1" showInputMessage="1" showErrorMessage="1">
          <x14:formula1>
            <xm:f>'النماذج (الأصل)'!$AB$49:$AB$50</xm:f>
          </x14:formula1>
          <xm:sqref>O19</xm:sqref>
        </x14:dataValidation>
        <x14:dataValidation type="list" allowBlank="1" showInputMessage="1" showErrorMessage="1">
          <x14:formula1>
            <xm:f>'النماذج (الأصل)'!$AB$52:$AB$54</xm:f>
          </x14:formula1>
          <xm:sqref>O20</xm:sqref>
        </x14:dataValidation>
        <x14:dataValidation type="list" allowBlank="1" showInputMessage="1" showErrorMessage="1">
          <x14:formula1>
            <xm:f>'النماذج (الأصل)'!$AB$56:$AB$57</xm:f>
          </x14:formula1>
          <xm:sqref>O21</xm:sqref>
        </x14:dataValidation>
        <x14:dataValidation type="list" allowBlank="1" showInputMessage="1" showErrorMessage="1">
          <x14:formula1>
            <xm:f>'النماذج (الأصل)'!$AB$59:$AB$60</xm:f>
          </x14:formula1>
          <xm:sqref>O22</xm:sqref>
        </x14:dataValidation>
        <x14:dataValidation type="list" allowBlank="1" showInputMessage="1" showErrorMessage="1">
          <x14:formula1>
            <xm:f>'النماذج (الأصل)'!$AB$62:$AB$63</xm:f>
          </x14:formula1>
          <xm:sqref>O23</xm:sqref>
        </x14:dataValidation>
        <x14:dataValidation type="list" allowBlank="1" showInputMessage="1" showErrorMessage="1">
          <x14:formula1>
            <xm:f>'النماذج (الأصل)'!$AB$65:$AB$66</xm:f>
          </x14:formula1>
          <xm:sqref>O24</xm:sqref>
        </x14:dataValidation>
        <x14:dataValidation type="list" allowBlank="1" showInputMessage="1" showErrorMessage="1">
          <x14:formula1>
            <xm:f>'النماذج (الأصل)'!$AB$71:$AB$72</xm:f>
          </x14:formula1>
          <xm:sqref>O26</xm:sqref>
        </x14:dataValidation>
        <x14:dataValidation type="list" allowBlank="1" showInputMessage="1" showErrorMessage="1">
          <x14:formula1>
            <xm:f>'النماذج (الأصل)'!$AB$68:$AB$69</xm:f>
          </x14:formula1>
          <xm:sqref>O25</xm:sqref>
        </x14:dataValidation>
        <x14:dataValidation type="list" allowBlank="1" showInputMessage="1" showErrorMessage="1">
          <x14:formula1>
            <xm:f>'النماذج (الأصل)'!$AB$74:$AB$75</xm:f>
          </x14:formula1>
          <xm:sqref>O27</xm:sqref>
        </x14:dataValidation>
        <x14:dataValidation type="list" allowBlank="1" showInputMessage="1" showErrorMessage="1">
          <x14:formula1>
            <xm:f>'النماذج (الأصل)'!$AB$77:$AB$78</xm:f>
          </x14:formula1>
          <xm:sqref>O28</xm:sqref>
        </x14:dataValidation>
        <x14:dataValidation type="list" allowBlank="1" showInputMessage="1" showErrorMessage="1">
          <x14:formula1>
            <xm:f>'النماذج (الأصل)'!$AB$80:$AB$81</xm:f>
          </x14:formula1>
          <xm:sqref>O29</xm:sqref>
        </x14:dataValidation>
        <x14:dataValidation type="list" allowBlank="1" showInputMessage="1" showErrorMessage="1">
          <x14:formula1>
            <xm:f>'النماذج (الأصل)'!$AB$83:$AB$84</xm:f>
          </x14:formula1>
          <xm:sqref>O30</xm:sqref>
        </x14:dataValidation>
        <x14:dataValidation type="list" allowBlank="1" showInputMessage="1" showErrorMessage="1">
          <x14:formula1>
            <xm:f>'النماذج (الأصل)'!$AB$86:$AB$87</xm:f>
          </x14:formula1>
          <xm:sqref>O31</xm:sqref>
        </x14:dataValidation>
        <x14:dataValidation type="list" allowBlank="1" showInputMessage="1" showErrorMessage="1">
          <x14:formula1>
            <xm:f>'النماذج (الأصل)'!$AB$93:$AB$95</xm:f>
          </x14:formula1>
          <xm:sqref>O33</xm:sqref>
        </x14:dataValidation>
        <x14:dataValidation type="list" allowBlank="1" showInputMessage="1" showErrorMessage="1">
          <x14:formula1>
            <xm:f>'النماذج (الأصل)'!$AB$97:$AB$99</xm:f>
          </x14:formula1>
          <xm:sqref>O34</xm:sqref>
        </x14:dataValidation>
        <x14:dataValidation type="list" allowBlank="1" showInputMessage="1" showErrorMessage="1">
          <x14:formula1>
            <xm:f>'النماذج (الأصل)'!$AB$101:$AB$103</xm:f>
          </x14:formula1>
          <xm:sqref>O35</xm:sqref>
        </x14:dataValidation>
        <x14:dataValidation type="list" allowBlank="1" showInputMessage="1" showErrorMessage="1">
          <x14:formula1>
            <xm:f>'النماذج (الأصل)'!$AB$105:$AB$106</xm:f>
          </x14:formula1>
          <xm:sqref>O36</xm:sqref>
        </x14:dataValidation>
        <x14:dataValidation type="list" allowBlank="1" showInputMessage="1" showErrorMessage="1">
          <x14:formula1>
            <xm:f>'النماذج (الأصل)'!$AB$108:$AB$109</xm:f>
          </x14:formula1>
          <xm:sqref>O37</xm:sqref>
        </x14:dataValidation>
        <x14:dataValidation type="list" allowBlank="1" showInputMessage="1" showErrorMessage="1">
          <x14:formula1>
            <xm:f>'النماذج (الأصل)'!$AB$111:$AB$113</xm:f>
          </x14:formula1>
          <xm:sqref>O38</xm:sqref>
        </x14:dataValidation>
        <x14:dataValidation type="list" allowBlank="1" showInputMessage="1" showErrorMessage="1">
          <x14:formula1>
            <xm:f>'النماذج (الأصل)'!$AB$115:$AB$117</xm:f>
          </x14:formula1>
          <xm:sqref>O39</xm:sqref>
        </x14:dataValidation>
        <x14:dataValidation type="list" allowBlank="1" showInputMessage="1" showErrorMessage="1">
          <x14:formula1>
            <xm:f>'النماذج (الأصل)'!$AB$119:$AB$120</xm:f>
          </x14:formula1>
          <xm:sqref>O40</xm:sqref>
        </x14:dataValidation>
        <x14:dataValidation type="list" allowBlank="1" showInputMessage="1" showErrorMessage="1">
          <x14:formula1>
            <xm:f>'النماذج (الأصل)'!$AB$122:$AB$123</xm:f>
          </x14:formula1>
          <xm:sqref>O41</xm:sqref>
        </x14:dataValidation>
        <x14:dataValidation type="list" allowBlank="1" showInputMessage="1" showErrorMessage="1">
          <x14:formula1>
            <xm:f>'النماذج (الأصل)'!$AB$125:$AB$127</xm:f>
          </x14:formula1>
          <xm:sqref>O42</xm:sqref>
        </x14:dataValidation>
        <x14:dataValidation type="list" allowBlank="1" showInputMessage="1" showErrorMessage="1">
          <x14:formula1>
            <xm:f>'النماذج (الأصل)'!$AB$129:$AB$130</xm:f>
          </x14:formula1>
          <xm:sqref>O43</xm:sqref>
        </x14:dataValidation>
        <x14:dataValidation type="list" allowBlank="1" showInputMessage="1" showErrorMessage="1">
          <x14:formula1>
            <xm:f>'النماذج (الأصل)'!$AB$132:$AB$133</xm:f>
          </x14:formula1>
          <xm:sqref>O44</xm:sqref>
        </x14:dataValidation>
        <x14:dataValidation type="list" allowBlank="1" showInputMessage="1" showErrorMessage="1">
          <x14:formula1>
            <xm:f>'النماذج (الأصل)'!$AB$135:$AB$136</xm:f>
          </x14:formula1>
          <xm:sqref>O45</xm:sqref>
        </x14:dataValidation>
        <x14:dataValidation type="list" allowBlank="1" showInputMessage="1" showErrorMessage="1">
          <x14:formula1>
            <xm:f>'النماذج (الأصل)'!$AB$138:$AB$139</xm:f>
          </x14:formula1>
          <xm:sqref>O46</xm:sqref>
        </x14:dataValidation>
        <x14:dataValidation type="list" allowBlank="1" showInputMessage="1" showErrorMessage="1">
          <x14:formula1>
            <xm:f>'النماذج (الأصل)'!$AB$141:$AB$142</xm:f>
          </x14:formula1>
          <xm:sqref>O47</xm:sqref>
        </x14:dataValidation>
        <x14:dataValidation type="list" allowBlank="1" showInputMessage="1" showErrorMessage="1">
          <x14:formula1>
            <xm:f>'النماذج (الأصل)'!$AB$144:$AB$145</xm:f>
          </x14:formula1>
          <xm:sqref>O48</xm:sqref>
        </x14:dataValidation>
        <x14:dataValidation type="list" allowBlank="1" showInputMessage="1" showErrorMessage="1">
          <x14:formula1>
            <xm:f>'النماذج (الأصل)'!$AB$147:$AB$148</xm:f>
          </x14:formula1>
          <xm:sqref>O49</xm:sqref>
        </x14:dataValidation>
        <x14:dataValidation type="list" allowBlank="1" showInputMessage="1" showErrorMessage="1">
          <x14:formula1>
            <xm:f>'النماذج (الأصل)'!$AB$150:$AB$151</xm:f>
          </x14:formula1>
          <xm:sqref>O50</xm:sqref>
        </x14:dataValidation>
        <x14:dataValidation type="list" allowBlank="1" showInputMessage="1" showErrorMessage="1">
          <x14:formula1>
            <xm:f>'النماذج (الأصل)'!$AB$153:$AB$154</xm:f>
          </x14:formula1>
          <xm:sqref>O51</xm:sqref>
        </x14:dataValidation>
        <x14:dataValidation type="list" allowBlank="1" showInputMessage="1" showErrorMessage="1">
          <x14:formula1>
            <xm:f>'النماذج (الأصل)'!$AB$156:$AB$157</xm:f>
          </x14:formula1>
          <xm:sqref>O52</xm:sqref>
        </x14:dataValidation>
        <x14:dataValidation type="list" allowBlank="1" showInputMessage="1" showErrorMessage="1">
          <x14:formula1>
            <xm:f>'النماذج (الأصل)'!$AB$159:$AB$160</xm:f>
          </x14:formula1>
          <xm:sqref>O53</xm:sqref>
        </x14:dataValidation>
        <x14:dataValidation type="list" allowBlank="1" showInputMessage="1" showErrorMessage="1">
          <x14:formula1>
            <xm:f>'النماذج (الأصل)'!$AB$162:$AB$163</xm:f>
          </x14:formula1>
          <xm:sqref>O54</xm:sqref>
        </x14:dataValidation>
        <x14:dataValidation type="list" allowBlank="1" showInputMessage="1" showErrorMessage="1">
          <x14:formula1>
            <xm:f>'النماذج (الأصل)'!$AB$165:$AB$166</xm:f>
          </x14:formula1>
          <xm:sqref>O55</xm:sqref>
        </x14:dataValidation>
        <x14:dataValidation type="list" allowBlank="1" showInputMessage="1" showErrorMessage="1">
          <x14:formula1>
            <xm:f>'النماذج (الأصل)'!$AB$168:$AB$169</xm:f>
          </x14:formula1>
          <xm:sqref>O56</xm:sqref>
        </x14:dataValidation>
        <x14:dataValidation type="list" allowBlank="1" showInputMessage="1" showErrorMessage="1">
          <x14:formula1>
            <xm:f>'النماذج (الأصل)'!$AB$171:$AB$172</xm:f>
          </x14:formula1>
          <xm:sqref>O57</xm:sqref>
        </x14:dataValidation>
        <x14:dataValidation type="list" allowBlank="1" showInputMessage="1" showErrorMessage="1">
          <x14:formula1>
            <xm:f>'النماذج (الأصل)'!$AB$174:$AB$175</xm:f>
          </x14:formula1>
          <xm:sqref>O58</xm:sqref>
        </x14:dataValidation>
        <x14:dataValidation type="list" allowBlank="1" showInputMessage="1" showErrorMessage="1">
          <x14:formula1>
            <xm:f>'النماذج (الأصل)'!$AB$177:$AB$179</xm:f>
          </x14:formula1>
          <xm:sqref>O59</xm:sqref>
        </x14:dataValidation>
        <x14:dataValidation type="list" allowBlank="1" showInputMessage="1" showErrorMessage="1">
          <x14:formula1>
            <xm:f>'النماذج (الأصل)'!$AB$181:$AB$182</xm:f>
          </x14:formula1>
          <xm:sqref>O60</xm:sqref>
        </x14:dataValidation>
        <x14:dataValidation type="list" allowBlank="1" showInputMessage="1" showErrorMessage="1">
          <x14:formula1>
            <xm:f>'النماذج (الأصل)'!$AB$183:$AB$184</xm:f>
          </x14:formula1>
          <xm:sqref>O61</xm:sqref>
        </x14:dataValidation>
        <x14:dataValidation type="list" allowBlank="1" showInputMessage="1" showErrorMessage="1">
          <x14:formula1>
            <xm:f>'النماذج (الأصل)'!$AB$186:$AB$187</xm:f>
          </x14:formula1>
          <xm:sqref>O62</xm:sqref>
        </x14:dataValidation>
        <x14:dataValidation type="list" allowBlank="1" showInputMessage="1" showErrorMessage="1">
          <x14:formula1>
            <xm:f>'النماذج (الأصل)'!$AB$188:$AB$189</xm:f>
          </x14:formula1>
          <xm:sqref>O63</xm:sqref>
        </x14:dataValidation>
        <x14:dataValidation type="list" allowBlank="1" showInputMessage="1" showErrorMessage="1">
          <x14:formula1>
            <xm:f>'النماذج (الأصل)'!$AB$191:$AB$192</xm:f>
          </x14:formula1>
          <xm:sqref>O64</xm:sqref>
        </x14:dataValidation>
        <x14:dataValidation type="list" allowBlank="1" showInputMessage="1" showErrorMessage="1">
          <x14:formula1>
            <xm:f>'النماذج (الأصل)'!$AB$194:$AB$196</xm:f>
          </x14:formula1>
          <xm:sqref>O65</xm:sqref>
        </x14:dataValidation>
        <x14:dataValidation type="list" allowBlank="1" showInputMessage="1" showErrorMessage="1">
          <x14:formula1>
            <xm:f>'النماذج (الأصل)'!$AB$198:$AB$200</xm:f>
          </x14:formula1>
          <xm:sqref>O66</xm:sqref>
        </x14:dataValidation>
        <x14:dataValidation type="list" allowBlank="1" showInputMessage="1" showErrorMessage="1">
          <x14:formula1>
            <xm:f>'النماذج (الأصل)'!$AB$202:$AB$203</xm:f>
          </x14:formula1>
          <xm:sqref>O67</xm:sqref>
        </x14:dataValidation>
        <x14:dataValidation type="list" allowBlank="1" showInputMessage="1" showErrorMessage="1">
          <x14:formula1>
            <xm:f>'النماذج (الأصل)'!$AB$205:$AB$207</xm:f>
          </x14:formula1>
          <xm:sqref>O68</xm:sqref>
        </x14:dataValidation>
        <x14:dataValidation type="list" allowBlank="1" showInputMessage="1" showErrorMessage="1">
          <x14:formula1>
            <xm:f>'النماذج (الأصل)'!$AB$209:$AB$210</xm:f>
          </x14:formula1>
          <xm:sqref>O69</xm:sqref>
        </x14:dataValidation>
        <x14:dataValidation type="list" allowBlank="1" showInputMessage="1" showErrorMessage="1">
          <x14:formula1>
            <xm:f>'النماذج (الأصل)'!AB89:AB91</xm:f>
          </x14:formula1>
          <xm:sqref>O32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FA28"/>
  <sheetViews>
    <sheetView showGridLines="0" showRowColHeaders="0" rightToLeft="1" tabSelected="1" topLeftCell="A13" zoomScaleNormal="100" workbookViewId="0">
      <selection activeCell="O7" sqref="O7"/>
    </sheetView>
  </sheetViews>
  <sheetFormatPr defaultColWidth="9" defaultRowHeight="27.75" x14ac:dyDescent="0.65"/>
  <cols>
    <col min="1" max="1" width="11.42578125" style="80" customWidth="1"/>
    <col min="2" max="2" width="8" style="80" bestFit="1" customWidth="1"/>
    <col min="3" max="3" width="16.140625" style="80" customWidth="1"/>
    <col min="4" max="4" width="8.140625" style="198" customWidth="1"/>
    <col min="5" max="5" width="11.7109375" style="91" customWidth="1"/>
    <col min="6" max="6" width="6.85546875" style="91" customWidth="1"/>
    <col min="7" max="7" width="38.140625" style="199" customWidth="1"/>
    <col min="8" max="8" width="6.85546875" style="200" hidden="1" customWidth="1"/>
    <col min="9" max="9" width="41.42578125" style="200" hidden="1" customWidth="1"/>
    <col min="10" max="10" width="7.140625" style="91" customWidth="1"/>
    <col min="11" max="11" width="41" style="80" customWidth="1"/>
    <col min="12" max="12" width="6.42578125" style="91" hidden="1" customWidth="1"/>
    <col min="13" max="13" width="14.140625" style="80" customWidth="1"/>
    <col min="14" max="14" width="36" style="80" customWidth="1"/>
    <col min="15" max="15" width="24" style="80" customWidth="1"/>
    <col min="16" max="16" width="9.42578125" style="334" customWidth="1"/>
    <col min="17" max="17" width="8.42578125" style="91" customWidth="1"/>
    <col min="18" max="18" width="14" style="329" customWidth="1"/>
    <col min="19" max="20" width="8.42578125" style="80" customWidth="1"/>
    <col min="21" max="24" width="9" style="80" customWidth="1"/>
    <col min="25" max="25" width="9" style="330" customWidth="1"/>
    <col min="26" max="26" width="37.42578125" style="330" customWidth="1"/>
    <col min="27" max="27" width="24.7109375" style="330" bestFit="1" customWidth="1"/>
    <col min="28" max="28" width="9.7109375" style="330" bestFit="1" customWidth="1"/>
    <col min="29" max="29" width="56.140625" style="80" bestFit="1" customWidth="1"/>
    <col min="30" max="31" width="9" style="80" customWidth="1"/>
    <col min="32" max="32" width="9.42578125" style="80" bestFit="1" customWidth="1"/>
    <col min="33" max="33" width="10.140625" style="80" bestFit="1" customWidth="1"/>
    <col min="34" max="48" width="9" style="80" customWidth="1"/>
    <col min="49" max="49" width="9" style="80" hidden="1" customWidth="1"/>
    <col min="50" max="50" width="24.7109375" style="80" hidden="1" customWidth="1"/>
    <col min="51" max="51" width="10.42578125" style="80" hidden="1" customWidth="1"/>
    <col min="52" max="52" width="56.140625" style="80" hidden="1" customWidth="1"/>
    <col min="53" max="53" width="8.7109375" style="202" hidden="1" customWidth="1"/>
    <col min="54" max="61" width="9" style="202" hidden="1" customWidth="1"/>
    <col min="62" max="62" width="19" style="202" hidden="1" customWidth="1"/>
    <col min="63" max="63" width="18.42578125" style="202" hidden="1" customWidth="1"/>
    <col min="64" max="64" width="10.140625" style="202" hidden="1" customWidth="1"/>
    <col min="65" max="66" width="9" style="202" hidden="1" customWidth="1"/>
    <col min="67" max="67" width="9" style="202"/>
    <col min="68" max="68" width="9" style="80"/>
    <col min="69" max="157" width="9" style="318"/>
    <col min="158" max="16384" width="9" style="80"/>
  </cols>
  <sheetData>
    <row r="1" spans="1:157" ht="30.6" customHeight="1" x14ac:dyDescent="0.65">
      <c r="A1" s="1052" t="s">
        <v>32</v>
      </c>
      <c r="B1" s="1052"/>
      <c r="C1" s="1052"/>
      <c r="D1" s="479"/>
      <c r="E1" s="1036" t="str">
        <f>'الامتثال والالتزام (للجهة)'!E1:K2</f>
        <v>مؤسسة ……….</v>
      </c>
      <c r="F1" s="1036"/>
      <c r="G1" s="1036"/>
      <c r="H1" s="1036"/>
      <c r="I1" s="1036"/>
      <c r="J1" s="1036"/>
      <c r="K1" s="1036"/>
      <c r="L1" s="1036"/>
      <c r="M1" s="1036"/>
      <c r="N1" s="903" t="s">
        <v>477</v>
      </c>
      <c r="O1" s="1053">
        <f>IF(R27="الإجابات ناقصة","لم يكتمل التقييم",R27/100)</f>
        <v>1</v>
      </c>
      <c r="P1" s="272"/>
      <c r="Q1" s="248"/>
    </row>
    <row r="2" spans="1:157" ht="30.6" customHeight="1" thickBot="1" x14ac:dyDescent="2.15">
      <c r="A2" s="1052"/>
      <c r="B2" s="1052"/>
      <c r="C2" s="1052"/>
      <c r="D2" s="479"/>
      <c r="E2" s="1036"/>
      <c r="F2" s="1036"/>
      <c r="G2" s="1036"/>
      <c r="H2" s="1036"/>
      <c r="I2" s="1036"/>
      <c r="J2" s="1036"/>
      <c r="K2" s="1036"/>
      <c r="L2" s="1036"/>
      <c r="M2" s="1036"/>
      <c r="N2" s="903"/>
      <c r="O2" s="1054"/>
      <c r="P2" s="272"/>
      <c r="Q2" s="248"/>
      <c r="R2" s="513"/>
    </row>
    <row r="3" spans="1:157" ht="75.75" thickBot="1" x14ac:dyDescent="0.7">
      <c r="A3" s="480" t="s">
        <v>372</v>
      </c>
      <c r="B3" s="481" t="s">
        <v>116</v>
      </c>
      <c r="C3" s="481" t="s">
        <v>40</v>
      </c>
      <c r="D3" s="481" t="s">
        <v>443</v>
      </c>
      <c r="E3" s="481" t="s">
        <v>11</v>
      </c>
      <c r="F3" s="481"/>
      <c r="G3" s="481" t="s">
        <v>41</v>
      </c>
      <c r="H3" s="481" t="s">
        <v>370</v>
      </c>
      <c r="I3" s="481" t="s">
        <v>442</v>
      </c>
      <c r="J3" s="482" t="s">
        <v>28</v>
      </c>
      <c r="K3" s="481" t="s">
        <v>4</v>
      </c>
      <c r="L3" s="481" t="s">
        <v>5</v>
      </c>
      <c r="M3" s="481" t="s">
        <v>6</v>
      </c>
      <c r="N3" s="481" t="s">
        <v>7</v>
      </c>
      <c r="O3" s="483" t="s">
        <v>367</v>
      </c>
      <c r="P3" s="484" t="s">
        <v>29</v>
      </c>
      <c r="Q3" s="484" t="s">
        <v>30</v>
      </c>
      <c r="R3" s="485" t="s">
        <v>31</v>
      </c>
      <c r="AA3" s="227" t="s">
        <v>372</v>
      </c>
      <c r="AB3" s="228" t="s">
        <v>12</v>
      </c>
      <c r="AC3" s="228" t="s">
        <v>462</v>
      </c>
      <c r="AD3" s="228" t="s">
        <v>464</v>
      </c>
      <c r="AE3" s="228" t="s">
        <v>463</v>
      </c>
      <c r="AF3" s="228" t="s">
        <v>466</v>
      </c>
      <c r="AG3" s="228" t="s">
        <v>465</v>
      </c>
      <c r="AH3" s="228" t="s">
        <v>479</v>
      </c>
      <c r="AX3" s="342" t="s">
        <v>372</v>
      </c>
      <c r="AY3" s="342" t="s">
        <v>12</v>
      </c>
      <c r="AZ3" s="342" t="s">
        <v>462</v>
      </c>
      <c r="BA3" s="342" t="s">
        <v>41</v>
      </c>
      <c r="BB3" s="342" t="s">
        <v>480</v>
      </c>
      <c r="BC3" s="342" t="s">
        <v>481</v>
      </c>
      <c r="BD3" s="342" t="s">
        <v>482</v>
      </c>
      <c r="BE3" s="342" t="s">
        <v>483</v>
      </c>
      <c r="BF3" s="342" t="s">
        <v>484</v>
      </c>
      <c r="BG3" s="342" t="s">
        <v>485</v>
      </c>
      <c r="BH3" s="342" t="s">
        <v>486</v>
      </c>
      <c r="BI3" s="342" t="s">
        <v>487</v>
      </c>
      <c r="BJ3" s="342" t="s">
        <v>459</v>
      </c>
      <c r="BK3" s="342" t="s">
        <v>460</v>
      </c>
      <c r="BL3" s="342" t="s">
        <v>461</v>
      </c>
      <c r="BM3" s="342" t="s">
        <v>478</v>
      </c>
    </row>
    <row r="4" spans="1:157" ht="38.25" thickTop="1" x14ac:dyDescent="0.65">
      <c r="A4" s="1039" t="s">
        <v>446</v>
      </c>
      <c r="B4" s="1042">
        <v>1</v>
      </c>
      <c r="C4" s="1045" t="s">
        <v>42</v>
      </c>
      <c r="D4" s="1048">
        <v>0.35</v>
      </c>
      <c r="E4" s="1042">
        <v>1</v>
      </c>
      <c r="F4" s="1051">
        <v>35</v>
      </c>
      <c r="G4" s="1051" t="s">
        <v>535</v>
      </c>
      <c r="H4" s="486" t="str">
        <f>$B$4&amp;"-"&amp;$E$4&amp;"-"&amp;J4</f>
        <v>1-1-1</v>
      </c>
      <c r="I4" s="486" t="str">
        <f t="shared" ref="I4:I26" si="0">IF(O4="","",H4&amp;"-"&amp;O4)</f>
        <v>1-1-1-نعم - تم  النشر .</v>
      </c>
      <c r="J4" s="514">
        <v>1</v>
      </c>
      <c r="K4" s="515" t="s">
        <v>536</v>
      </c>
      <c r="L4" s="514">
        <v>7</v>
      </c>
      <c r="M4" s="516" t="s">
        <v>0</v>
      </c>
      <c r="N4" s="517" t="s">
        <v>51</v>
      </c>
      <c r="O4" s="336" t="s">
        <v>555</v>
      </c>
      <c r="P4" s="490">
        <f>IF(I4="","",INDEX('النماذج (الأصل)'!$AC$224:$AE$2295,MATCH(I4,'النماذج (الأصل)'!$AC$224:$AC$295,0),3))</f>
        <v>7</v>
      </c>
      <c r="Q4" s="1037">
        <f>SUM(P4:P11)</f>
        <v>35</v>
      </c>
      <c r="R4" s="1038">
        <f>IF(AH4&gt;0,"الإجابات ناقصة",SUM(Q4:Q11))</f>
        <v>35</v>
      </c>
      <c r="T4" s="130"/>
      <c r="U4" s="130"/>
      <c r="AA4" s="232" t="s">
        <v>446</v>
      </c>
      <c r="AB4" s="282">
        <v>1</v>
      </c>
      <c r="AC4" s="373" t="s">
        <v>42</v>
      </c>
      <c r="AD4" s="234">
        <f>BJ4</f>
        <v>35</v>
      </c>
      <c r="AE4" s="234">
        <f>BK4</f>
        <v>35</v>
      </c>
      <c r="AF4" s="370">
        <f>AD4-AE4</f>
        <v>0</v>
      </c>
      <c r="AG4" s="345">
        <f>BL4</f>
        <v>1</v>
      </c>
      <c r="AH4" s="282">
        <f>BM4</f>
        <v>0</v>
      </c>
      <c r="AX4" s="80" t="s">
        <v>446</v>
      </c>
      <c r="AY4" s="202">
        <v>1</v>
      </c>
      <c r="AZ4" s="80" t="s">
        <v>42</v>
      </c>
      <c r="BA4" s="202">
        <v>1</v>
      </c>
      <c r="BB4" s="201">
        <f>P4</f>
        <v>7</v>
      </c>
      <c r="BC4" s="201">
        <f>P5</f>
        <v>4</v>
      </c>
      <c r="BD4" s="201">
        <f>P6</f>
        <v>4</v>
      </c>
      <c r="BE4" s="201">
        <f>P7</f>
        <v>4</v>
      </c>
      <c r="BF4" s="201">
        <f>P8</f>
        <v>4</v>
      </c>
      <c r="BG4" s="201">
        <f>P9</f>
        <v>4</v>
      </c>
      <c r="BH4" s="201">
        <f>P10</f>
        <v>4</v>
      </c>
      <c r="BI4" s="201">
        <f>P11</f>
        <v>4</v>
      </c>
      <c r="BJ4" s="323">
        <f>SUM(BB4:BI4)</f>
        <v>35</v>
      </c>
      <c r="BK4" s="344">
        <v>35</v>
      </c>
      <c r="BL4" s="148">
        <f>BJ4/BK4</f>
        <v>1</v>
      </c>
      <c r="BM4" s="148">
        <f>COUNTBLANK(BB4:BI4)</f>
        <v>0</v>
      </c>
    </row>
    <row r="5" spans="1:157" s="331" customFormat="1" ht="37.5" x14ac:dyDescent="0.65">
      <c r="A5" s="1040"/>
      <c r="B5" s="1043"/>
      <c r="C5" s="1046"/>
      <c r="D5" s="1049"/>
      <c r="E5" s="1043"/>
      <c r="F5" s="1000">
        <v>4</v>
      </c>
      <c r="G5" s="1000"/>
      <c r="H5" s="486" t="str">
        <f t="shared" ref="H5:H11" si="1">$B$4&amp;"-"&amp;$E$4&amp;"-"&amp;J5</f>
        <v>1-1-2</v>
      </c>
      <c r="I5" s="486" t="str">
        <f t="shared" si="0"/>
        <v>1-1-2-نعم - تم  النشر .</v>
      </c>
      <c r="J5" s="514">
        <v>2</v>
      </c>
      <c r="K5" s="515" t="s">
        <v>49</v>
      </c>
      <c r="L5" s="514">
        <v>4</v>
      </c>
      <c r="M5" s="516" t="s">
        <v>0</v>
      </c>
      <c r="N5" s="517" t="s">
        <v>52</v>
      </c>
      <c r="O5" s="336" t="s">
        <v>555</v>
      </c>
      <c r="P5" s="490">
        <f>IF(I5="","",INDEX('النماذج (الأصل)'!$AC$224:$AE$2295,MATCH(I5,'النماذج (الأصل)'!$AC$224:$AC$295,0),3))</f>
        <v>4</v>
      </c>
      <c r="Q5" s="1010"/>
      <c r="R5" s="1013"/>
      <c r="S5" s="80"/>
      <c r="T5" s="80"/>
      <c r="U5" s="80"/>
      <c r="V5" s="80"/>
      <c r="W5" s="80"/>
      <c r="X5" s="80"/>
      <c r="Y5" s="330"/>
      <c r="Z5" s="330"/>
      <c r="AA5" s="242" t="s">
        <v>447</v>
      </c>
      <c r="AB5" s="283">
        <v>2</v>
      </c>
      <c r="AC5" s="374" t="s">
        <v>43</v>
      </c>
      <c r="AD5" s="244">
        <f>BJ5</f>
        <v>35</v>
      </c>
      <c r="AE5" s="244">
        <v>40</v>
      </c>
      <c r="AF5" s="371">
        <f t="shared" ref="AF5" si="2">AD5-AE5</f>
        <v>-5</v>
      </c>
      <c r="AG5" s="346">
        <f t="shared" ref="AG5" si="3">BL5</f>
        <v>0.875</v>
      </c>
      <c r="AH5" s="283">
        <f>BM5+BM6</f>
        <v>0</v>
      </c>
      <c r="AX5" s="80" t="s">
        <v>447</v>
      </c>
      <c r="AY5" s="202">
        <v>2</v>
      </c>
      <c r="AZ5" s="80" t="s">
        <v>43</v>
      </c>
      <c r="BA5" s="202">
        <v>2</v>
      </c>
      <c r="BB5" s="201" t="str">
        <f>P12</f>
        <v>-</v>
      </c>
      <c r="BC5" s="201">
        <f>IF(Table1[[#This Row],[السؤال1]]=0,0,P13)</f>
        <v>5</v>
      </c>
      <c r="BD5" s="201">
        <f>IF(Table1[[#This Row],[السؤال1]]=0,0,P14)</f>
        <v>5</v>
      </c>
      <c r="BE5" s="201">
        <f>IF(Table1[[#This Row],[السؤال1]]=0,0,P15)</f>
        <v>5</v>
      </c>
      <c r="BF5" s="201" t="str">
        <f>IF(Table1[[#This Row],[السؤال1]]=0,0,P16)</f>
        <v>-</v>
      </c>
      <c r="BG5" s="201">
        <f>IF(OR(Table1[[#This Row],[السؤال1]]=0,Table1[[#This Row],[السؤال5]]=5),0,P17)</f>
        <v>5</v>
      </c>
      <c r="BH5" s="201" t="str">
        <f>IF(Table1[[#This Row],[السؤال1]]=0,0,P18)</f>
        <v>-</v>
      </c>
      <c r="BI5" s="201">
        <f>IF(OR(Table1[[#This Row],[السؤال1]]=0,Table1[[#This Row],[السؤال7]]=5),0,P19)</f>
        <v>5</v>
      </c>
      <c r="BJ5" s="323">
        <f>SUM(BB5:BI6)</f>
        <v>35</v>
      </c>
      <c r="BK5" s="344">
        <v>40</v>
      </c>
      <c r="BL5" s="148">
        <f t="shared" ref="BL5:BL8" si="4">BJ5/BK5</f>
        <v>0.875</v>
      </c>
      <c r="BM5" s="148">
        <f t="shared" ref="BM5" si="5">COUNTBLANK(BB5:BI5)</f>
        <v>0</v>
      </c>
      <c r="BN5" s="332"/>
      <c r="BO5" s="332"/>
      <c r="BQ5" s="318"/>
      <c r="BR5" s="318"/>
      <c r="BS5" s="318"/>
      <c r="BT5" s="318"/>
      <c r="BU5" s="318"/>
      <c r="BV5" s="318"/>
      <c r="BW5" s="318"/>
      <c r="BX5" s="318"/>
      <c r="BY5" s="318"/>
      <c r="BZ5" s="318"/>
      <c r="CA5" s="318"/>
      <c r="CB5" s="318"/>
      <c r="CC5" s="318"/>
      <c r="CD5" s="318"/>
      <c r="CE5" s="318"/>
      <c r="CF5" s="318"/>
      <c r="CG5" s="318"/>
      <c r="CH5" s="318"/>
      <c r="CI5" s="318"/>
      <c r="CJ5" s="318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318"/>
      <c r="ER5" s="318"/>
      <c r="ES5" s="318"/>
      <c r="ET5" s="318"/>
      <c r="EU5" s="318"/>
      <c r="EV5" s="318"/>
      <c r="EW5" s="318"/>
      <c r="EX5" s="318"/>
      <c r="EY5" s="318"/>
      <c r="EZ5" s="318"/>
      <c r="FA5" s="318"/>
    </row>
    <row r="6" spans="1:157" s="331" customFormat="1" ht="37.5" x14ac:dyDescent="0.65">
      <c r="A6" s="1040"/>
      <c r="B6" s="1043"/>
      <c r="C6" s="1046"/>
      <c r="D6" s="1049"/>
      <c r="E6" s="1043"/>
      <c r="F6" s="1000">
        <v>4</v>
      </c>
      <c r="G6" s="1000"/>
      <c r="H6" s="487" t="str">
        <f t="shared" si="1"/>
        <v>1-1-3</v>
      </c>
      <c r="I6" s="487" t="str">
        <f t="shared" si="0"/>
        <v>1-1-3-نعم - تم  النشر .</v>
      </c>
      <c r="J6" s="518">
        <v>3</v>
      </c>
      <c r="K6" s="519" t="s">
        <v>50</v>
      </c>
      <c r="L6" s="518">
        <v>4</v>
      </c>
      <c r="M6" s="520" t="s">
        <v>0</v>
      </c>
      <c r="N6" s="521" t="s">
        <v>53</v>
      </c>
      <c r="O6" s="337" t="s">
        <v>555</v>
      </c>
      <c r="P6" s="491">
        <f>IF(I6="","",INDEX('النماذج (الأصل)'!$AC$224:$AE$2295,MATCH(I6,'النماذج (الأصل)'!$AC$224:$AC$295,0),3))</f>
        <v>4</v>
      </c>
      <c r="Q6" s="1010"/>
      <c r="R6" s="1013"/>
      <c r="S6" s="80"/>
      <c r="T6" s="80"/>
      <c r="U6" s="80"/>
      <c r="V6" s="80"/>
      <c r="W6" s="80"/>
      <c r="X6" s="80"/>
      <c r="Y6" s="330"/>
      <c r="Z6" s="330"/>
      <c r="AA6" s="242" t="s">
        <v>448</v>
      </c>
      <c r="AB6" s="284">
        <v>3</v>
      </c>
      <c r="AC6" s="375" t="s">
        <v>44</v>
      </c>
      <c r="AD6" s="253">
        <f>BJ7</f>
        <v>20</v>
      </c>
      <c r="AE6" s="253">
        <f>BK7</f>
        <v>20</v>
      </c>
      <c r="AF6" s="372">
        <f>AD6-AE6</f>
        <v>0</v>
      </c>
      <c r="AG6" s="347">
        <f>BL7</f>
        <v>1</v>
      </c>
      <c r="AH6" s="284">
        <f>BM7</f>
        <v>0</v>
      </c>
      <c r="AX6" s="80" t="s">
        <v>447</v>
      </c>
      <c r="AY6" s="202">
        <v>2</v>
      </c>
      <c r="AZ6" s="80" t="s">
        <v>497</v>
      </c>
      <c r="BA6" s="202">
        <v>3</v>
      </c>
      <c r="BB6" s="201" t="str">
        <f>P20</f>
        <v>-</v>
      </c>
      <c r="BC6" s="201">
        <f>P21</f>
        <v>10</v>
      </c>
      <c r="BD6" s="343"/>
      <c r="BE6" s="343"/>
      <c r="BF6" s="343"/>
      <c r="BG6" s="343"/>
      <c r="BH6" s="343"/>
      <c r="BI6" s="343"/>
      <c r="BJ6" s="323"/>
      <c r="BK6" s="344"/>
      <c r="BL6" s="148"/>
      <c r="BM6" s="148">
        <f>COUNTBLANK(BB6:BC6)</f>
        <v>0</v>
      </c>
      <c r="BN6" s="332"/>
      <c r="BO6" s="332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8"/>
      <c r="CC6" s="318"/>
      <c r="CD6" s="318"/>
      <c r="CE6" s="318"/>
      <c r="CF6" s="318"/>
      <c r="CG6" s="318"/>
      <c r="CH6" s="318"/>
      <c r="CI6" s="318"/>
      <c r="CJ6" s="318"/>
      <c r="CK6" s="318"/>
      <c r="CL6" s="318"/>
      <c r="CM6" s="318"/>
      <c r="CN6" s="318"/>
      <c r="CO6" s="318"/>
      <c r="CP6" s="318"/>
      <c r="CQ6" s="318"/>
      <c r="CR6" s="318"/>
      <c r="CS6" s="318"/>
      <c r="CT6" s="318"/>
      <c r="CU6" s="318"/>
      <c r="CV6" s="318"/>
      <c r="CW6" s="318"/>
      <c r="CX6" s="318"/>
      <c r="CY6" s="318"/>
      <c r="CZ6" s="318"/>
      <c r="DA6" s="318"/>
      <c r="DB6" s="318"/>
      <c r="DC6" s="318"/>
      <c r="DD6" s="318"/>
      <c r="DE6" s="318"/>
      <c r="DF6" s="318"/>
      <c r="DG6" s="318"/>
      <c r="DH6" s="318"/>
      <c r="DI6" s="318"/>
      <c r="DJ6" s="318"/>
      <c r="DK6" s="318"/>
      <c r="DL6" s="318"/>
      <c r="DM6" s="318"/>
      <c r="DN6" s="318"/>
      <c r="DO6" s="318"/>
      <c r="DP6" s="318"/>
      <c r="DQ6" s="318"/>
      <c r="DR6" s="318"/>
      <c r="DS6" s="318"/>
      <c r="DT6" s="318"/>
      <c r="DU6" s="318"/>
      <c r="DV6" s="318"/>
      <c r="DW6" s="318"/>
      <c r="DX6" s="318"/>
      <c r="DY6" s="318"/>
      <c r="DZ6" s="318"/>
      <c r="EA6" s="318"/>
      <c r="EB6" s="318"/>
      <c r="EC6" s="318"/>
      <c r="ED6" s="318"/>
      <c r="EE6" s="318"/>
      <c r="EF6" s="318"/>
      <c r="EG6" s="318"/>
      <c r="EH6" s="318"/>
      <c r="EI6" s="318"/>
      <c r="EJ6" s="318"/>
      <c r="EK6" s="318"/>
      <c r="EL6" s="318"/>
      <c r="EM6" s="318"/>
      <c r="EN6" s="318"/>
      <c r="EO6" s="318"/>
      <c r="EP6" s="318"/>
      <c r="EQ6" s="318"/>
      <c r="ER6" s="318"/>
      <c r="ES6" s="318"/>
      <c r="ET6" s="318"/>
      <c r="EU6" s="318"/>
      <c r="EV6" s="318"/>
      <c r="EW6" s="318"/>
      <c r="EX6" s="318"/>
      <c r="EY6" s="318"/>
      <c r="EZ6" s="318"/>
      <c r="FA6" s="318"/>
    </row>
    <row r="7" spans="1:157" s="331" customFormat="1" ht="37.5" x14ac:dyDescent="0.65">
      <c r="A7" s="1040"/>
      <c r="B7" s="1043"/>
      <c r="C7" s="1046"/>
      <c r="D7" s="1049"/>
      <c r="E7" s="1043"/>
      <c r="F7" s="1000">
        <v>4</v>
      </c>
      <c r="G7" s="1000"/>
      <c r="H7" s="487" t="str">
        <f t="shared" si="1"/>
        <v>1-1-4</v>
      </c>
      <c r="I7" s="487" t="str">
        <f t="shared" si="0"/>
        <v>1-1-4-نعم - تم  النشر .</v>
      </c>
      <c r="J7" s="518">
        <v>4</v>
      </c>
      <c r="K7" s="519" t="s">
        <v>491</v>
      </c>
      <c r="L7" s="518">
        <v>4</v>
      </c>
      <c r="M7" s="520" t="s">
        <v>13</v>
      </c>
      <c r="N7" s="521" t="s">
        <v>55</v>
      </c>
      <c r="O7" s="337" t="s">
        <v>555</v>
      </c>
      <c r="P7" s="491">
        <f>IF(I7="","",INDEX('النماذج (الأصل)'!$AC$224:$AE$2295,MATCH(I7,'النماذج (الأصل)'!$AC$224:$AC$295,0),3))</f>
        <v>4</v>
      </c>
      <c r="Q7" s="1010"/>
      <c r="R7" s="1013"/>
      <c r="S7" s="80"/>
      <c r="T7" s="80"/>
      <c r="U7" s="80"/>
      <c r="V7" s="80"/>
      <c r="W7" s="80"/>
      <c r="X7" s="80"/>
      <c r="Y7" s="330"/>
      <c r="Z7" s="330"/>
      <c r="AA7" s="242" t="s">
        <v>449</v>
      </c>
      <c r="AB7" s="283">
        <v>4</v>
      </c>
      <c r="AC7" s="374" t="s">
        <v>104</v>
      </c>
      <c r="AD7" s="244">
        <f>BJ8</f>
        <v>10</v>
      </c>
      <c r="AE7" s="244">
        <f>BK8</f>
        <v>10</v>
      </c>
      <c r="AF7" s="371">
        <f>AD7-AE7</f>
        <v>0</v>
      </c>
      <c r="AG7" s="346">
        <f>BL8</f>
        <v>1</v>
      </c>
      <c r="AH7" s="283">
        <f>BM8</f>
        <v>0</v>
      </c>
      <c r="AX7" s="80" t="s">
        <v>448</v>
      </c>
      <c r="AY7" s="202">
        <v>3</v>
      </c>
      <c r="AZ7" s="80" t="s">
        <v>44</v>
      </c>
      <c r="BA7" s="202">
        <v>4</v>
      </c>
      <c r="BB7" s="201">
        <f>P22</f>
        <v>10</v>
      </c>
      <c r="BC7" s="201">
        <f>P23</f>
        <v>10</v>
      </c>
      <c r="BD7" s="343"/>
      <c r="BE7" s="343"/>
      <c r="BF7" s="343"/>
      <c r="BG7" s="343"/>
      <c r="BH7" s="343"/>
      <c r="BI7" s="343"/>
      <c r="BJ7" s="323">
        <f>SUM(BB7:BI7)</f>
        <v>20</v>
      </c>
      <c r="BK7" s="344">
        <v>20</v>
      </c>
      <c r="BL7" s="148">
        <f t="shared" si="4"/>
        <v>1</v>
      </c>
      <c r="BM7" s="148">
        <f>COUNTBLANK(BB7:BC7)</f>
        <v>0</v>
      </c>
      <c r="BN7" s="332"/>
      <c r="BO7" s="332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8"/>
      <c r="CM7" s="318"/>
      <c r="CN7" s="318"/>
      <c r="CO7" s="318"/>
      <c r="CP7" s="318"/>
      <c r="CQ7" s="318"/>
      <c r="CR7" s="318"/>
      <c r="CS7" s="318"/>
      <c r="CT7" s="318"/>
      <c r="CU7" s="318"/>
      <c r="CV7" s="318"/>
      <c r="CW7" s="318"/>
      <c r="CX7" s="318"/>
      <c r="CY7" s="318"/>
      <c r="CZ7" s="318"/>
      <c r="DA7" s="318"/>
      <c r="DB7" s="318"/>
      <c r="DC7" s="318"/>
      <c r="DD7" s="318"/>
      <c r="DE7" s="318"/>
      <c r="DF7" s="318"/>
      <c r="DG7" s="318"/>
      <c r="DH7" s="318"/>
      <c r="DI7" s="318"/>
      <c r="DJ7" s="318"/>
      <c r="DK7" s="318"/>
      <c r="DL7" s="318"/>
      <c r="DM7" s="318"/>
      <c r="DN7" s="318"/>
      <c r="DO7" s="318"/>
      <c r="DP7" s="318"/>
      <c r="DQ7" s="318"/>
      <c r="DR7" s="318"/>
      <c r="DS7" s="318"/>
      <c r="DT7" s="318"/>
      <c r="DU7" s="318"/>
      <c r="DV7" s="318"/>
      <c r="DW7" s="318"/>
      <c r="DX7" s="318"/>
      <c r="DY7" s="318"/>
      <c r="DZ7" s="318"/>
      <c r="EA7" s="318"/>
      <c r="EB7" s="318"/>
      <c r="EC7" s="318"/>
      <c r="ED7" s="318"/>
      <c r="EE7" s="318"/>
      <c r="EF7" s="318"/>
      <c r="EG7" s="318"/>
      <c r="EH7" s="318"/>
      <c r="EI7" s="318"/>
      <c r="EJ7" s="318"/>
      <c r="EK7" s="318"/>
      <c r="EL7" s="318"/>
      <c r="EM7" s="318"/>
      <c r="EN7" s="318"/>
      <c r="EO7" s="318"/>
      <c r="EP7" s="318"/>
      <c r="EQ7" s="318"/>
      <c r="ER7" s="318"/>
      <c r="ES7" s="318"/>
      <c r="ET7" s="318"/>
      <c r="EU7" s="318"/>
      <c r="EV7" s="318"/>
      <c r="EW7" s="318"/>
      <c r="EX7" s="318"/>
      <c r="EY7" s="318"/>
      <c r="EZ7" s="318"/>
      <c r="FA7" s="318"/>
    </row>
    <row r="8" spans="1:157" s="331" customFormat="1" ht="37.5" x14ac:dyDescent="0.65">
      <c r="A8" s="1040"/>
      <c r="B8" s="1043"/>
      <c r="C8" s="1046"/>
      <c r="D8" s="1049"/>
      <c r="E8" s="1043"/>
      <c r="F8" s="1000">
        <v>4</v>
      </c>
      <c r="G8" s="1000"/>
      <c r="H8" s="487" t="str">
        <f t="shared" si="1"/>
        <v>1-1-5</v>
      </c>
      <c r="I8" s="487" t="str">
        <f t="shared" si="0"/>
        <v>1-1-5-نعم - تم  النشر .</v>
      </c>
      <c r="J8" s="518">
        <v>5</v>
      </c>
      <c r="K8" s="519" t="s">
        <v>537</v>
      </c>
      <c r="L8" s="518">
        <v>4</v>
      </c>
      <c r="M8" s="520" t="s">
        <v>13</v>
      </c>
      <c r="N8" s="521" t="s">
        <v>57</v>
      </c>
      <c r="O8" s="337" t="s">
        <v>555</v>
      </c>
      <c r="P8" s="491">
        <f>IF(I8="","",INDEX('النماذج (الأصل)'!$AC$224:$AE$2295,MATCH(I8,'النماذج (الأصل)'!$AC$224:$AC$295,0),3))</f>
        <v>4</v>
      </c>
      <c r="Q8" s="1010"/>
      <c r="R8" s="1013"/>
      <c r="S8" s="80"/>
      <c r="T8" s="80"/>
      <c r="U8" s="80"/>
      <c r="V8" s="80"/>
      <c r="W8" s="80"/>
      <c r="X8" s="80"/>
      <c r="Y8" s="330"/>
      <c r="Z8" s="330"/>
      <c r="AX8" s="80" t="s">
        <v>449</v>
      </c>
      <c r="AY8" s="202">
        <v>4</v>
      </c>
      <c r="AZ8" s="80" t="s">
        <v>104</v>
      </c>
      <c r="BA8" s="202">
        <v>5</v>
      </c>
      <c r="BB8" s="201">
        <f>P24</f>
        <v>4</v>
      </c>
      <c r="BC8" s="201">
        <f>P25</f>
        <v>2</v>
      </c>
      <c r="BD8" s="201">
        <f>P26</f>
        <v>4</v>
      </c>
      <c r="BE8" s="343"/>
      <c r="BF8" s="343"/>
      <c r="BG8" s="343"/>
      <c r="BH8" s="343"/>
      <c r="BI8" s="343"/>
      <c r="BJ8" s="323">
        <f>SUM(BB8:BI8)</f>
        <v>10</v>
      </c>
      <c r="BK8" s="344">
        <v>10</v>
      </c>
      <c r="BL8" s="148">
        <f t="shared" si="4"/>
        <v>1</v>
      </c>
      <c r="BM8" s="148">
        <f>COUNTBLANK(BB8:BD8)</f>
        <v>0</v>
      </c>
      <c r="BN8" s="332"/>
      <c r="BO8" s="332"/>
      <c r="BQ8" s="318"/>
      <c r="BR8" s="318"/>
      <c r="BS8" s="318"/>
      <c r="BT8" s="318"/>
      <c r="BU8" s="318"/>
      <c r="BV8" s="318"/>
      <c r="BW8" s="318"/>
      <c r="BX8" s="318"/>
      <c r="BY8" s="318"/>
      <c r="BZ8" s="318"/>
      <c r="CA8" s="318"/>
      <c r="CB8" s="318"/>
      <c r="CC8" s="318"/>
      <c r="CD8" s="318"/>
      <c r="CE8" s="318"/>
      <c r="CF8" s="318"/>
      <c r="CG8" s="318"/>
      <c r="CH8" s="318"/>
      <c r="CI8" s="318"/>
      <c r="CJ8" s="318"/>
      <c r="CK8" s="318"/>
      <c r="CL8" s="318"/>
      <c r="CM8" s="318"/>
      <c r="CN8" s="318"/>
      <c r="CO8" s="318"/>
      <c r="CP8" s="318"/>
      <c r="CQ8" s="318"/>
      <c r="CR8" s="318"/>
      <c r="CS8" s="318"/>
      <c r="CT8" s="318"/>
      <c r="CU8" s="318"/>
      <c r="CV8" s="318"/>
      <c r="CW8" s="318"/>
      <c r="CX8" s="318"/>
      <c r="CY8" s="318"/>
      <c r="CZ8" s="318"/>
      <c r="DA8" s="318"/>
      <c r="DB8" s="318"/>
      <c r="DC8" s="318"/>
      <c r="DD8" s="318"/>
      <c r="DE8" s="318"/>
      <c r="DF8" s="318"/>
      <c r="DG8" s="318"/>
      <c r="DH8" s="318"/>
      <c r="DI8" s="318"/>
      <c r="DJ8" s="318"/>
      <c r="DK8" s="318"/>
      <c r="DL8" s="318"/>
      <c r="DM8" s="318"/>
      <c r="DN8" s="318"/>
      <c r="DO8" s="318"/>
      <c r="DP8" s="318"/>
      <c r="DQ8" s="318"/>
      <c r="DR8" s="318"/>
      <c r="DS8" s="318"/>
      <c r="DT8" s="318"/>
      <c r="DU8" s="318"/>
      <c r="DV8" s="318"/>
      <c r="DW8" s="318"/>
      <c r="DX8" s="318"/>
      <c r="DY8" s="318"/>
      <c r="DZ8" s="318"/>
      <c r="EA8" s="318"/>
      <c r="EB8" s="318"/>
      <c r="EC8" s="318"/>
      <c r="ED8" s="318"/>
      <c r="EE8" s="318"/>
      <c r="EF8" s="318"/>
      <c r="EG8" s="318"/>
      <c r="EH8" s="318"/>
      <c r="EI8" s="318"/>
      <c r="EJ8" s="318"/>
      <c r="EK8" s="318"/>
      <c r="EL8" s="318"/>
      <c r="EM8" s="318"/>
      <c r="EN8" s="318"/>
      <c r="EO8" s="318"/>
      <c r="EP8" s="318"/>
      <c r="EQ8" s="318"/>
      <c r="ER8" s="318"/>
      <c r="ES8" s="318"/>
      <c r="ET8" s="318"/>
      <c r="EU8" s="318"/>
      <c r="EV8" s="318"/>
      <c r="EW8" s="318"/>
      <c r="EX8" s="318"/>
      <c r="EY8" s="318"/>
      <c r="EZ8" s="318"/>
      <c r="FA8" s="318"/>
    </row>
    <row r="9" spans="1:157" s="331" customFormat="1" ht="37.5" x14ac:dyDescent="0.65">
      <c r="A9" s="1040"/>
      <c r="B9" s="1043"/>
      <c r="C9" s="1046"/>
      <c r="D9" s="1049"/>
      <c r="E9" s="1043"/>
      <c r="F9" s="1000">
        <v>4</v>
      </c>
      <c r="G9" s="1000"/>
      <c r="H9" s="487" t="str">
        <f t="shared" si="1"/>
        <v>1-1-6</v>
      </c>
      <c r="I9" s="487" t="str">
        <f t="shared" si="0"/>
        <v>1-1-6-نعم - تم  النشر .</v>
      </c>
      <c r="J9" s="518">
        <v>6</v>
      </c>
      <c r="K9" s="519" t="s">
        <v>58</v>
      </c>
      <c r="L9" s="518">
        <v>4</v>
      </c>
      <c r="M9" s="520" t="s">
        <v>0</v>
      </c>
      <c r="N9" s="521" t="s">
        <v>59</v>
      </c>
      <c r="O9" s="337" t="s">
        <v>555</v>
      </c>
      <c r="P9" s="491">
        <f>IF(I9="","",INDEX('النماذج (الأصل)'!$AC$224:$AE$2295,MATCH(I9,'النماذج (الأصل)'!$AC$224:$AC$295,0),3))</f>
        <v>4</v>
      </c>
      <c r="Q9" s="1010"/>
      <c r="R9" s="1013"/>
      <c r="S9" s="80"/>
      <c r="T9" s="80"/>
      <c r="U9" s="80"/>
      <c r="V9" s="80"/>
      <c r="W9" s="80"/>
      <c r="X9" s="80"/>
      <c r="Y9" s="330"/>
      <c r="Z9" s="330"/>
      <c r="AA9" s="322"/>
      <c r="AB9" s="323"/>
      <c r="AC9" s="324"/>
      <c r="AD9" s="325"/>
      <c r="AE9" s="325"/>
      <c r="AF9" s="326"/>
      <c r="AG9" s="327"/>
      <c r="AH9" s="267"/>
      <c r="AX9" s="80"/>
      <c r="AY9" s="80"/>
      <c r="AZ9" s="80"/>
      <c r="BA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332"/>
      <c r="BN9" s="332"/>
      <c r="BO9" s="332"/>
      <c r="BQ9" s="318"/>
      <c r="BR9" s="318"/>
      <c r="BS9" s="318"/>
      <c r="BT9" s="318"/>
      <c r="BU9" s="318"/>
      <c r="BV9" s="318"/>
      <c r="BW9" s="318"/>
      <c r="BX9" s="318"/>
      <c r="BY9" s="318"/>
      <c r="BZ9" s="318"/>
      <c r="CA9" s="318"/>
      <c r="CB9" s="318"/>
      <c r="CC9" s="318"/>
      <c r="CD9" s="318"/>
      <c r="CE9" s="318"/>
      <c r="CF9" s="318"/>
      <c r="CG9" s="318"/>
      <c r="CH9" s="318"/>
      <c r="CI9" s="318"/>
      <c r="CJ9" s="318"/>
      <c r="CK9" s="318"/>
      <c r="CL9" s="318"/>
      <c r="CM9" s="318"/>
      <c r="CN9" s="318"/>
      <c r="CO9" s="318"/>
      <c r="CP9" s="318"/>
      <c r="CQ9" s="318"/>
      <c r="CR9" s="318"/>
      <c r="CS9" s="318"/>
      <c r="CT9" s="318"/>
      <c r="CU9" s="318"/>
      <c r="CV9" s="318"/>
      <c r="CW9" s="318"/>
      <c r="CX9" s="318"/>
      <c r="CY9" s="318"/>
      <c r="CZ9" s="318"/>
      <c r="DA9" s="318"/>
      <c r="DB9" s="318"/>
      <c r="DC9" s="318"/>
      <c r="DD9" s="318"/>
      <c r="DE9" s="318"/>
      <c r="DF9" s="318"/>
      <c r="DG9" s="318"/>
      <c r="DH9" s="318"/>
      <c r="DI9" s="318"/>
      <c r="DJ9" s="318"/>
      <c r="DK9" s="318"/>
      <c r="DL9" s="318"/>
      <c r="DM9" s="318"/>
      <c r="DN9" s="318"/>
      <c r="DO9" s="318"/>
      <c r="DP9" s="318"/>
      <c r="DQ9" s="318"/>
      <c r="DR9" s="318"/>
      <c r="DS9" s="318"/>
      <c r="DT9" s="318"/>
      <c r="DU9" s="318"/>
      <c r="DV9" s="318"/>
      <c r="DW9" s="318"/>
      <c r="DX9" s="318"/>
      <c r="DY9" s="318"/>
      <c r="DZ9" s="318"/>
      <c r="EA9" s="318"/>
      <c r="EB9" s="318"/>
      <c r="EC9" s="318"/>
      <c r="ED9" s="318"/>
      <c r="EE9" s="318"/>
      <c r="EF9" s="318"/>
      <c r="EG9" s="318"/>
      <c r="EH9" s="318"/>
      <c r="EI9" s="318"/>
      <c r="EJ9" s="318"/>
      <c r="EK9" s="318"/>
      <c r="EL9" s="318"/>
      <c r="EM9" s="318"/>
      <c r="EN9" s="318"/>
      <c r="EO9" s="318"/>
      <c r="EP9" s="318"/>
      <c r="EQ9" s="318"/>
      <c r="ER9" s="318"/>
      <c r="ES9" s="318"/>
      <c r="ET9" s="318"/>
      <c r="EU9" s="318"/>
      <c r="EV9" s="318"/>
      <c r="EW9" s="318"/>
      <c r="EX9" s="318"/>
      <c r="EY9" s="318"/>
      <c r="EZ9" s="318"/>
      <c r="FA9" s="318"/>
    </row>
    <row r="10" spans="1:157" s="331" customFormat="1" ht="37.5" x14ac:dyDescent="0.65">
      <c r="A10" s="1040"/>
      <c r="B10" s="1043"/>
      <c r="C10" s="1046"/>
      <c r="D10" s="1049"/>
      <c r="E10" s="1043"/>
      <c r="F10" s="1000">
        <v>4</v>
      </c>
      <c r="G10" s="1000"/>
      <c r="H10" s="487" t="str">
        <f t="shared" si="1"/>
        <v>1-1-7</v>
      </c>
      <c r="I10" s="487" t="str">
        <f t="shared" si="0"/>
        <v>1-1-7-نعم - تم  النشر .</v>
      </c>
      <c r="J10" s="518">
        <v>7</v>
      </c>
      <c r="K10" s="519" t="s">
        <v>493</v>
      </c>
      <c r="L10" s="518">
        <v>4</v>
      </c>
      <c r="M10" s="520" t="s">
        <v>0</v>
      </c>
      <c r="N10" s="521" t="s">
        <v>61</v>
      </c>
      <c r="O10" s="337" t="s">
        <v>555</v>
      </c>
      <c r="P10" s="491">
        <f>IF(I10="","",INDEX('النماذج (الأصل)'!$AC$224:$AE$2295,MATCH(I10,'النماذج (الأصل)'!$AC$224:$AC$295,0),3))</f>
        <v>4</v>
      </c>
      <c r="Q10" s="1010"/>
      <c r="R10" s="1013"/>
      <c r="S10" s="80"/>
      <c r="T10" s="80"/>
      <c r="U10" s="80"/>
      <c r="V10" s="80"/>
      <c r="W10" s="80"/>
      <c r="X10" s="80"/>
      <c r="Y10" s="330"/>
      <c r="Z10" s="330"/>
      <c r="AA10" s="322"/>
      <c r="AB10" s="323"/>
      <c r="AC10" s="324"/>
      <c r="AD10" s="325"/>
      <c r="AE10" s="325"/>
      <c r="AF10" s="326"/>
      <c r="AG10" s="327"/>
      <c r="AH10" s="267"/>
      <c r="AX10" s="80"/>
      <c r="AY10" s="80"/>
      <c r="AZ10" s="80"/>
      <c r="BA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332"/>
      <c r="BN10" s="332"/>
      <c r="BO10" s="332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8"/>
      <c r="CX10" s="318"/>
      <c r="CY10" s="318"/>
      <c r="CZ10" s="318"/>
      <c r="DA10" s="318"/>
      <c r="DB10" s="318"/>
      <c r="DC10" s="318"/>
      <c r="DD10" s="318"/>
      <c r="DE10" s="318"/>
      <c r="DF10" s="318"/>
      <c r="DG10" s="318"/>
      <c r="DH10" s="318"/>
      <c r="DI10" s="318"/>
      <c r="DJ10" s="318"/>
      <c r="DK10" s="318"/>
      <c r="DL10" s="318"/>
      <c r="DM10" s="318"/>
      <c r="DN10" s="318"/>
      <c r="DO10" s="318"/>
      <c r="DP10" s="318"/>
      <c r="DQ10" s="318"/>
      <c r="DR10" s="318"/>
      <c r="DS10" s="318"/>
      <c r="DT10" s="318"/>
      <c r="DU10" s="318"/>
      <c r="DV10" s="318"/>
      <c r="DW10" s="318"/>
      <c r="DX10" s="318"/>
      <c r="DY10" s="318"/>
      <c r="DZ10" s="318"/>
      <c r="EA10" s="318"/>
      <c r="EB10" s="318"/>
      <c r="EC10" s="318"/>
      <c r="ED10" s="318"/>
      <c r="EE10" s="318"/>
      <c r="EF10" s="318"/>
      <c r="EG10" s="318"/>
      <c r="EH10" s="318"/>
      <c r="EI10" s="318"/>
      <c r="EJ10" s="318"/>
      <c r="EK10" s="318"/>
      <c r="EL10" s="318"/>
      <c r="EM10" s="318"/>
      <c r="EN10" s="318"/>
      <c r="EO10" s="318"/>
      <c r="EP10" s="318"/>
      <c r="EQ10" s="318"/>
      <c r="ER10" s="318"/>
      <c r="ES10" s="318"/>
      <c r="ET10" s="318"/>
      <c r="EU10" s="318"/>
      <c r="EV10" s="318"/>
      <c r="EW10" s="318"/>
      <c r="EX10" s="318"/>
      <c r="EY10" s="318"/>
      <c r="EZ10" s="318"/>
      <c r="FA10" s="318"/>
    </row>
    <row r="11" spans="1:157" s="331" customFormat="1" ht="38.25" thickBot="1" x14ac:dyDescent="0.7">
      <c r="A11" s="1041"/>
      <c r="B11" s="1044"/>
      <c r="C11" s="1047"/>
      <c r="D11" s="1050"/>
      <c r="E11" s="1044"/>
      <c r="F11" s="1001">
        <v>4</v>
      </c>
      <c r="G11" s="1001"/>
      <c r="H11" s="496" t="str">
        <f t="shared" si="1"/>
        <v>1-1-8</v>
      </c>
      <c r="I11" s="496" t="str">
        <f t="shared" si="0"/>
        <v>1-1-8-نعم - تم  النشر .</v>
      </c>
      <c r="J11" s="522">
        <v>8</v>
      </c>
      <c r="K11" s="523" t="s">
        <v>62</v>
      </c>
      <c r="L11" s="522">
        <v>4</v>
      </c>
      <c r="M11" s="524" t="s">
        <v>0</v>
      </c>
      <c r="N11" s="525" t="s">
        <v>63</v>
      </c>
      <c r="O11" s="497" t="s">
        <v>555</v>
      </c>
      <c r="P11" s="492">
        <f>IF(I11="","",INDEX('النماذج (الأصل)'!$AC$224:$AE$2295,MATCH(I11,'النماذج (الأصل)'!$AC$224:$AC$295,0),3))</f>
        <v>4</v>
      </c>
      <c r="Q11" s="1014"/>
      <c r="R11" s="1013"/>
      <c r="S11" s="80"/>
      <c r="T11" s="80"/>
      <c r="U11" s="80"/>
      <c r="V11" s="80"/>
      <c r="W11" s="80"/>
      <c r="X11" s="80"/>
      <c r="Y11" s="330"/>
      <c r="Z11" s="330"/>
      <c r="AA11" s="322"/>
      <c r="AB11" s="323"/>
      <c r="AC11" s="324"/>
      <c r="AD11" s="325"/>
      <c r="AE11" s="325"/>
      <c r="AF11" s="326"/>
      <c r="AG11" s="327"/>
      <c r="AH11" s="267"/>
      <c r="AX11" s="80"/>
      <c r="AY11" s="80"/>
      <c r="AZ11" s="80"/>
      <c r="BA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332"/>
      <c r="BN11" s="332"/>
      <c r="BO11" s="332"/>
      <c r="BQ11" s="318"/>
      <c r="BR11" s="318"/>
      <c r="BS11" s="318"/>
      <c r="BT11" s="318"/>
      <c r="BU11" s="318"/>
      <c r="BV11" s="318"/>
      <c r="BW11" s="318"/>
      <c r="BX11" s="318"/>
      <c r="BY11" s="318"/>
      <c r="BZ11" s="318"/>
      <c r="CA11" s="318"/>
      <c r="CB11" s="318"/>
      <c r="CC11" s="318"/>
      <c r="CD11" s="318"/>
      <c r="CE11" s="318"/>
      <c r="CF11" s="318"/>
      <c r="CG11" s="318"/>
      <c r="CH11" s="318"/>
      <c r="CI11" s="318"/>
      <c r="CJ11" s="318"/>
      <c r="CK11" s="318"/>
      <c r="CL11" s="318"/>
      <c r="CM11" s="318"/>
      <c r="CN11" s="318"/>
      <c r="CO11" s="318"/>
      <c r="CP11" s="318"/>
      <c r="CQ11" s="318"/>
      <c r="CR11" s="318"/>
      <c r="CS11" s="318"/>
      <c r="CT11" s="318"/>
      <c r="CU11" s="318"/>
      <c r="CV11" s="318"/>
      <c r="CW11" s="318"/>
      <c r="CX11" s="318"/>
      <c r="CY11" s="318"/>
      <c r="CZ11" s="318"/>
      <c r="DA11" s="318"/>
      <c r="DB11" s="318"/>
      <c r="DC11" s="318"/>
      <c r="DD11" s="318"/>
      <c r="DE11" s="318"/>
      <c r="DF11" s="318"/>
      <c r="DG11" s="318"/>
      <c r="DH11" s="318"/>
      <c r="DI11" s="318"/>
      <c r="DJ11" s="318"/>
      <c r="DK11" s="318"/>
      <c r="DL11" s="318"/>
      <c r="DM11" s="318"/>
      <c r="DN11" s="318"/>
      <c r="DO11" s="318"/>
      <c r="DP11" s="318"/>
      <c r="DQ11" s="318"/>
      <c r="DR11" s="318"/>
      <c r="DS11" s="318"/>
      <c r="DT11" s="318"/>
      <c r="DU11" s="318"/>
      <c r="DV11" s="318"/>
      <c r="DW11" s="318"/>
      <c r="DX11" s="318"/>
      <c r="DY11" s="318"/>
      <c r="DZ11" s="318"/>
      <c r="EA11" s="318"/>
      <c r="EB11" s="318"/>
      <c r="EC11" s="318"/>
      <c r="ED11" s="318"/>
      <c r="EE11" s="318"/>
      <c r="EF11" s="318"/>
      <c r="EG11" s="318"/>
      <c r="EH11" s="318"/>
      <c r="EI11" s="318"/>
      <c r="EJ11" s="318"/>
      <c r="EK11" s="318"/>
      <c r="EL11" s="318"/>
      <c r="EM11" s="318"/>
      <c r="EN11" s="318"/>
      <c r="EO11" s="318"/>
      <c r="EP11" s="318"/>
      <c r="EQ11" s="318"/>
      <c r="ER11" s="318"/>
      <c r="ES11" s="318"/>
      <c r="ET11" s="318"/>
      <c r="EU11" s="318"/>
      <c r="EV11" s="318"/>
      <c r="EW11" s="318"/>
      <c r="EX11" s="318"/>
      <c r="EY11" s="318"/>
      <c r="EZ11" s="318"/>
      <c r="FA11" s="318"/>
    </row>
    <row r="12" spans="1:157" s="331" customFormat="1" ht="61.5" x14ac:dyDescent="0.65">
      <c r="A12" s="1016" t="s">
        <v>447</v>
      </c>
      <c r="B12" s="1019">
        <v>2</v>
      </c>
      <c r="C12" s="1022" t="s">
        <v>43</v>
      </c>
      <c r="D12" s="1025">
        <v>0.25</v>
      </c>
      <c r="E12" s="1019">
        <v>2</v>
      </c>
      <c r="F12" s="1007">
        <v>25</v>
      </c>
      <c r="G12" s="1007" t="s">
        <v>64</v>
      </c>
      <c r="H12" s="489" t="str">
        <f t="shared" ref="H12:H19" si="6">$B$12&amp;"-"&amp;$E$12&amp;"-"&amp;J12</f>
        <v>2-2-1</v>
      </c>
      <c r="I12" s="489" t="str">
        <f t="shared" si="0"/>
        <v>2-2-1-نعم - يتم الانتقال إلى السؤال التالي</v>
      </c>
      <c r="J12" s="526">
        <v>1</v>
      </c>
      <c r="K12" s="527" t="s">
        <v>65</v>
      </c>
      <c r="L12" s="1015">
        <v>5</v>
      </c>
      <c r="M12" s="528" t="s">
        <v>0</v>
      </c>
      <c r="N12" s="529" t="s">
        <v>67</v>
      </c>
      <c r="O12" s="338" t="s">
        <v>538</v>
      </c>
      <c r="P12" s="493" t="str">
        <f>IF(I12="","",INDEX('النماذج (الأصل)'!$AC$224:$AE$2295,MATCH(I12,'النماذج (الأصل)'!$AC$224:$AC$295,0),3))</f>
        <v>-</v>
      </c>
      <c r="Q12" s="1009">
        <f>IF(P12=0,0,SUM(P12:P19))</f>
        <v>25</v>
      </c>
      <c r="R12" s="1012">
        <f>IF(SUM(AH5:AH5)&gt;0,"الإجابات ناقصة",SUM(Q12:Q21))</f>
        <v>35</v>
      </c>
      <c r="S12" s="80"/>
      <c r="T12" s="80"/>
      <c r="U12" s="80"/>
      <c r="V12" s="80"/>
      <c r="W12" s="80"/>
      <c r="X12" s="80"/>
      <c r="Y12" s="330"/>
      <c r="Z12" s="330"/>
      <c r="AA12" s="322"/>
      <c r="AB12" s="323"/>
      <c r="AC12" s="324"/>
      <c r="AD12" s="325"/>
      <c r="AE12" s="325"/>
      <c r="AF12" s="326"/>
      <c r="AG12" s="327"/>
      <c r="AH12" s="267"/>
      <c r="AX12" s="80"/>
      <c r="AY12" s="80"/>
      <c r="AZ12" s="80"/>
      <c r="BA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332"/>
      <c r="BN12" s="332"/>
      <c r="BO12" s="332"/>
      <c r="BQ12" s="318"/>
      <c r="BR12" s="318"/>
      <c r="BS12" s="318"/>
      <c r="BT12" s="318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8"/>
      <c r="CP12" s="318"/>
      <c r="CQ12" s="318"/>
      <c r="CR12" s="318"/>
      <c r="CS12" s="318"/>
      <c r="CT12" s="318"/>
      <c r="CU12" s="318"/>
      <c r="CV12" s="318"/>
      <c r="CW12" s="318"/>
      <c r="CX12" s="318"/>
      <c r="CY12" s="318"/>
      <c r="CZ12" s="318"/>
      <c r="DA12" s="318"/>
      <c r="DB12" s="318"/>
      <c r="DC12" s="318"/>
      <c r="DD12" s="318"/>
      <c r="DE12" s="318"/>
      <c r="DF12" s="318"/>
      <c r="DG12" s="318"/>
      <c r="DH12" s="318"/>
      <c r="DI12" s="318"/>
      <c r="DJ12" s="318"/>
      <c r="DK12" s="318"/>
      <c r="DL12" s="318"/>
      <c r="DM12" s="318"/>
      <c r="DN12" s="318"/>
      <c r="DO12" s="318"/>
      <c r="DP12" s="318"/>
      <c r="DQ12" s="318"/>
      <c r="DR12" s="318"/>
      <c r="DS12" s="318"/>
      <c r="DT12" s="318"/>
      <c r="DU12" s="318"/>
      <c r="DV12" s="318"/>
      <c r="DW12" s="318"/>
      <c r="DX12" s="318"/>
      <c r="DY12" s="318"/>
      <c r="DZ12" s="318"/>
      <c r="EA12" s="318"/>
      <c r="EB12" s="318"/>
      <c r="EC12" s="318"/>
      <c r="ED12" s="318"/>
      <c r="EE12" s="318"/>
      <c r="EF12" s="318"/>
      <c r="EG12" s="318"/>
      <c r="EH12" s="318"/>
      <c r="EI12" s="318"/>
      <c r="EJ12" s="318"/>
      <c r="EK12" s="318"/>
      <c r="EL12" s="318"/>
      <c r="EM12" s="318"/>
      <c r="EN12" s="318"/>
      <c r="EO12" s="318"/>
      <c r="EP12" s="318"/>
      <c r="EQ12" s="318"/>
      <c r="ER12" s="318"/>
      <c r="ES12" s="318"/>
      <c r="ET12" s="318"/>
      <c r="EU12" s="318"/>
      <c r="EV12" s="318"/>
      <c r="EW12" s="318"/>
      <c r="EX12" s="318"/>
      <c r="EY12" s="318"/>
      <c r="EZ12" s="318"/>
      <c r="FA12" s="318"/>
    </row>
    <row r="13" spans="1:157" s="331" customFormat="1" ht="61.5" x14ac:dyDescent="0.65">
      <c r="A13" s="1017"/>
      <c r="B13" s="1020"/>
      <c r="C13" s="1023"/>
      <c r="D13" s="1026"/>
      <c r="E13" s="1020"/>
      <c r="F13" s="1000"/>
      <c r="G13" s="1000"/>
      <c r="H13" s="487" t="str">
        <f t="shared" si="6"/>
        <v>2-2-2</v>
      </c>
      <c r="I13" s="487" t="str">
        <f t="shared" si="0"/>
        <v>2-2-2-نعم - يتم تجديثة دورياً</v>
      </c>
      <c r="J13" s="518">
        <v>2</v>
      </c>
      <c r="K13" s="519" t="s">
        <v>68</v>
      </c>
      <c r="L13" s="1002"/>
      <c r="M13" s="520" t="s">
        <v>0</v>
      </c>
      <c r="N13" s="521" t="s">
        <v>69</v>
      </c>
      <c r="O13" s="337" t="s">
        <v>573</v>
      </c>
      <c r="P13" s="491">
        <f>IF(AND(I13="",P12=0),0,IF(I13="","",IF(P12="-",INDEX('النماذج (الأصل)'!$AC$224:$AE$2295,MATCH(I13,'النماذج (الأصل)'!$AC$224:$AC$295,0),3),0)))</f>
        <v>5</v>
      </c>
      <c r="Q13" s="1010"/>
      <c r="R13" s="1013"/>
      <c r="S13" s="80"/>
      <c r="T13" s="80"/>
      <c r="U13" s="80"/>
      <c r="V13" s="80"/>
      <c r="W13" s="80"/>
      <c r="X13" s="80"/>
      <c r="Y13" s="330"/>
      <c r="Z13" s="330"/>
      <c r="AA13" s="330"/>
      <c r="AB13" s="330"/>
      <c r="AC13" s="80"/>
      <c r="AX13" s="80"/>
      <c r="AY13" s="80"/>
      <c r="AZ13" s="80"/>
      <c r="BA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332"/>
      <c r="BN13" s="332"/>
      <c r="BO13" s="332"/>
      <c r="BQ13" s="318"/>
      <c r="BR13" s="318"/>
      <c r="BS13" s="318"/>
      <c r="BT13" s="318"/>
      <c r="BU13" s="318"/>
      <c r="BV13" s="318"/>
      <c r="BW13" s="318"/>
      <c r="BX13" s="318"/>
      <c r="BY13" s="318"/>
      <c r="BZ13" s="318"/>
      <c r="CA13" s="318"/>
      <c r="CB13" s="318"/>
      <c r="CC13" s="318"/>
      <c r="CD13" s="318"/>
      <c r="CE13" s="318"/>
      <c r="CF13" s="318"/>
      <c r="CG13" s="318"/>
      <c r="CH13" s="318"/>
      <c r="CI13" s="318"/>
      <c r="CJ13" s="318"/>
      <c r="CK13" s="318"/>
      <c r="CL13" s="318"/>
      <c r="CM13" s="318"/>
      <c r="CN13" s="318"/>
      <c r="CO13" s="318"/>
      <c r="CP13" s="318"/>
      <c r="CQ13" s="318"/>
      <c r="CR13" s="318"/>
      <c r="CS13" s="318"/>
      <c r="CT13" s="318"/>
      <c r="CU13" s="318"/>
      <c r="CV13" s="318"/>
      <c r="CW13" s="318"/>
      <c r="CX13" s="318"/>
      <c r="CY13" s="318"/>
      <c r="CZ13" s="318"/>
      <c r="DA13" s="318"/>
      <c r="DB13" s="318"/>
      <c r="DC13" s="318"/>
      <c r="DD13" s="318"/>
      <c r="DE13" s="318"/>
      <c r="DF13" s="318"/>
      <c r="DG13" s="318"/>
      <c r="DH13" s="318"/>
      <c r="DI13" s="318"/>
      <c r="DJ13" s="318"/>
      <c r="DK13" s="318"/>
      <c r="DL13" s="318"/>
      <c r="DM13" s="318"/>
      <c r="DN13" s="318"/>
      <c r="DO13" s="318"/>
      <c r="DP13" s="318"/>
      <c r="DQ13" s="318"/>
      <c r="DR13" s="318"/>
      <c r="DS13" s="318"/>
      <c r="DT13" s="318"/>
      <c r="DU13" s="318"/>
      <c r="DV13" s="318"/>
      <c r="DW13" s="318"/>
      <c r="DX13" s="318"/>
      <c r="DY13" s="318"/>
      <c r="DZ13" s="318"/>
      <c r="EA13" s="318"/>
      <c r="EB13" s="318"/>
      <c r="EC13" s="318"/>
      <c r="ED13" s="318"/>
      <c r="EE13" s="318"/>
      <c r="EF13" s="318"/>
      <c r="EG13" s="318"/>
      <c r="EH13" s="318"/>
      <c r="EI13" s="318"/>
      <c r="EJ13" s="318"/>
      <c r="EK13" s="318"/>
      <c r="EL13" s="318"/>
      <c r="EM13" s="318"/>
      <c r="EN13" s="318"/>
      <c r="EO13" s="318"/>
      <c r="EP13" s="318"/>
      <c r="EQ13" s="318"/>
      <c r="ER13" s="318"/>
      <c r="ES13" s="318"/>
      <c r="ET13" s="318"/>
      <c r="EU13" s="318"/>
      <c r="EV13" s="318"/>
      <c r="EW13" s="318"/>
      <c r="EX13" s="318"/>
      <c r="EY13" s="318"/>
      <c r="EZ13" s="318"/>
      <c r="FA13" s="318"/>
    </row>
    <row r="14" spans="1:157" s="331" customFormat="1" ht="61.5" x14ac:dyDescent="0.65">
      <c r="A14" s="1017"/>
      <c r="B14" s="1020"/>
      <c r="C14" s="1023"/>
      <c r="D14" s="1026"/>
      <c r="E14" s="1020"/>
      <c r="F14" s="1000">
        <v>5</v>
      </c>
      <c r="G14" s="1000"/>
      <c r="H14" s="487" t="str">
        <f t="shared" si="6"/>
        <v>2-2-3</v>
      </c>
      <c r="I14" s="487" t="str">
        <f t="shared" si="0"/>
        <v>2-2-3-نعم - تم الإفصاح بشكل متكامل.</v>
      </c>
      <c r="J14" s="518">
        <v>3</v>
      </c>
      <c r="K14" s="519" t="s">
        <v>73</v>
      </c>
      <c r="L14" s="518">
        <v>5</v>
      </c>
      <c r="M14" s="520" t="s">
        <v>0</v>
      </c>
      <c r="N14" s="521" t="s">
        <v>74</v>
      </c>
      <c r="O14" s="337" t="s">
        <v>556</v>
      </c>
      <c r="P14" s="491">
        <f>IF(AND(I14="",P12=0),0,IF(I14="","",IF(P12="-",INDEX('النماذج (الأصل)'!$AC$224:$AE$2295,MATCH(I14,'النماذج (الأصل)'!$AC$224:$AC$295,0),3),0)))</f>
        <v>5</v>
      </c>
      <c r="Q14" s="1010"/>
      <c r="R14" s="1013"/>
      <c r="S14" s="80"/>
      <c r="T14" s="80"/>
      <c r="U14" s="80"/>
      <c r="V14" s="80"/>
      <c r="W14" s="80"/>
      <c r="X14" s="80"/>
      <c r="Y14" s="330"/>
      <c r="Z14" s="330"/>
      <c r="AA14" s="330"/>
      <c r="AB14" s="330"/>
      <c r="AC14" s="80"/>
      <c r="AX14" s="80"/>
      <c r="AY14" s="80"/>
      <c r="AZ14" s="80"/>
      <c r="BA14" s="202"/>
      <c r="BB14" s="201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332"/>
      <c r="BN14" s="332"/>
      <c r="BO14" s="332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  <c r="CS14" s="318"/>
      <c r="CT14" s="318"/>
      <c r="CU14" s="318"/>
      <c r="CV14" s="318"/>
      <c r="CW14" s="318"/>
      <c r="CX14" s="318"/>
      <c r="CY14" s="318"/>
      <c r="CZ14" s="318"/>
      <c r="DA14" s="318"/>
      <c r="DB14" s="318"/>
      <c r="DC14" s="318"/>
      <c r="DD14" s="318"/>
      <c r="DE14" s="318"/>
      <c r="DF14" s="318"/>
      <c r="DG14" s="318"/>
      <c r="DH14" s="318"/>
      <c r="DI14" s="318"/>
      <c r="DJ14" s="318"/>
      <c r="DK14" s="318"/>
      <c r="DL14" s="318"/>
      <c r="DM14" s="318"/>
      <c r="DN14" s="318"/>
      <c r="DO14" s="318"/>
      <c r="DP14" s="318"/>
      <c r="DQ14" s="318"/>
      <c r="DR14" s="318"/>
      <c r="DS14" s="318"/>
      <c r="DT14" s="318"/>
      <c r="DU14" s="318"/>
      <c r="DV14" s="318"/>
      <c r="DW14" s="318"/>
      <c r="DX14" s="318"/>
      <c r="DY14" s="318"/>
      <c r="DZ14" s="318"/>
      <c r="EA14" s="318"/>
      <c r="EB14" s="318"/>
      <c r="EC14" s="318"/>
      <c r="ED14" s="318"/>
      <c r="EE14" s="318"/>
      <c r="EF14" s="318"/>
      <c r="EG14" s="318"/>
      <c r="EH14" s="318"/>
      <c r="EI14" s="318"/>
      <c r="EJ14" s="318"/>
      <c r="EK14" s="318"/>
      <c r="EL14" s="318"/>
      <c r="EM14" s="318"/>
      <c r="EN14" s="318"/>
      <c r="EO14" s="318"/>
      <c r="EP14" s="318"/>
      <c r="EQ14" s="318"/>
      <c r="ER14" s="318"/>
      <c r="ES14" s="318"/>
      <c r="ET14" s="318"/>
      <c r="EU14" s="318"/>
      <c r="EV14" s="318"/>
      <c r="EW14" s="318"/>
      <c r="EX14" s="318"/>
      <c r="EY14" s="318"/>
      <c r="EZ14" s="318"/>
      <c r="FA14" s="318"/>
    </row>
    <row r="15" spans="1:157" s="331" customFormat="1" ht="37.5" x14ac:dyDescent="0.65">
      <c r="A15" s="1017"/>
      <c r="B15" s="1020"/>
      <c r="C15" s="1023"/>
      <c r="D15" s="1026"/>
      <c r="E15" s="1020"/>
      <c r="F15" s="1000">
        <v>5</v>
      </c>
      <c r="G15" s="1000"/>
      <c r="H15" s="487" t="str">
        <f t="shared" si="6"/>
        <v>2-2-4</v>
      </c>
      <c r="I15" s="487" t="str">
        <f t="shared" si="0"/>
        <v>2-2-4-نعم - تم الإفصاح .</v>
      </c>
      <c r="J15" s="518">
        <v>4</v>
      </c>
      <c r="K15" s="519" t="s">
        <v>75</v>
      </c>
      <c r="L15" s="518">
        <v>5</v>
      </c>
      <c r="M15" s="520" t="s">
        <v>0</v>
      </c>
      <c r="N15" s="521" t="s">
        <v>76</v>
      </c>
      <c r="O15" s="337" t="s">
        <v>568</v>
      </c>
      <c r="P15" s="491">
        <f>IF(AND(I15="",P12=0),0,IF(I15="","",IF(P12="-",INDEX('النماذج (الأصل)'!$AC$224:$AE$2295,MATCH(I15,'النماذج (الأصل)'!$AC$224:$AC$295,0),3),0)))</f>
        <v>5</v>
      </c>
      <c r="Q15" s="1010"/>
      <c r="R15" s="1013"/>
      <c r="S15" s="80"/>
      <c r="T15" s="80"/>
      <c r="U15" s="80"/>
      <c r="V15" s="80"/>
      <c r="W15" s="80"/>
      <c r="X15" s="80"/>
      <c r="Y15" s="330"/>
      <c r="Z15" s="330"/>
      <c r="AA15" s="330"/>
      <c r="AB15" s="330"/>
      <c r="AC15" s="80"/>
      <c r="AX15" s="80"/>
      <c r="AY15" s="80"/>
      <c r="AZ15" s="80"/>
      <c r="BA15" s="202"/>
      <c r="BB15" s="201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332"/>
      <c r="BN15" s="332"/>
      <c r="BO15" s="332"/>
      <c r="BQ15" s="318"/>
      <c r="BR15" s="318"/>
      <c r="BS15" s="318"/>
      <c r="BT15" s="318"/>
      <c r="BU15" s="318"/>
      <c r="BV15" s="318"/>
      <c r="BW15" s="318"/>
      <c r="BX15" s="318"/>
      <c r="BY15" s="318"/>
      <c r="BZ15" s="318"/>
      <c r="CA15" s="318"/>
      <c r="CB15" s="318"/>
      <c r="CC15" s="318"/>
      <c r="CD15" s="318"/>
      <c r="CE15" s="318"/>
      <c r="CF15" s="318"/>
      <c r="CG15" s="318"/>
      <c r="CH15" s="318"/>
      <c r="CI15" s="318"/>
      <c r="CJ15" s="318"/>
      <c r="CK15" s="318"/>
      <c r="CL15" s="318"/>
      <c r="CM15" s="318"/>
      <c r="CN15" s="318"/>
      <c r="CO15" s="318"/>
      <c r="CP15" s="318"/>
      <c r="CQ15" s="318"/>
      <c r="CR15" s="318"/>
      <c r="CS15" s="318"/>
      <c r="CT15" s="318"/>
      <c r="CU15" s="318"/>
      <c r="CV15" s="318"/>
      <c r="CW15" s="318"/>
      <c r="CX15" s="318"/>
      <c r="CY15" s="318"/>
      <c r="CZ15" s="318"/>
      <c r="DA15" s="318"/>
      <c r="DB15" s="318"/>
      <c r="DC15" s="318"/>
      <c r="DD15" s="318"/>
      <c r="DE15" s="318"/>
      <c r="DF15" s="318"/>
      <c r="DG15" s="318"/>
      <c r="DH15" s="318"/>
      <c r="DI15" s="318"/>
      <c r="DJ15" s="318"/>
      <c r="DK15" s="318"/>
      <c r="DL15" s="318"/>
      <c r="DM15" s="318"/>
      <c r="DN15" s="318"/>
      <c r="DO15" s="318"/>
      <c r="DP15" s="318"/>
      <c r="DQ15" s="318"/>
      <c r="DR15" s="318"/>
      <c r="DS15" s="318"/>
      <c r="DT15" s="318"/>
      <c r="DU15" s="318"/>
      <c r="DV15" s="318"/>
      <c r="DW15" s="318"/>
      <c r="DX15" s="318"/>
      <c r="DY15" s="318"/>
      <c r="DZ15" s="318"/>
      <c r="EA15" s="318"/>
      <c r="EB15" s="318"/>
      <c r="EC15" s="318"/>
      <c r="ED15" s="318"/>
      <c r="EE15" s="318"/>
      <c r="EF15" s="318"/>
      <c r="EG15" s="318"/>
      <c r="EH15" s="318"/>
      <c r="EI15" s="318"/>
      <c r="EJ15" s="318"/>
      <c r="EK15" s="318"/>
      <c r="EL15" s="318"/>
      <c r="EM15" s="318"/>
      <c r="EN15" s="318"/>
      <c r="EO15" s="318"/>
      <c r="EP15" s="318"/>
      <c r="EQ15" s="318"/>
      <c r="ER15" s="318"/>
      <c r="ES15" s="318"/>
      <c r="ET15" s="318"/>
      <c r="EU15" s="318"/>
      <c r="EV15" s="318"/>
      <c r="EW15" s="318"/>
      <c r="EX15" s="318"/>
      <c r="EY15" s="318"/>
      <c r="EZ15" s="318"/>
      <c r="FA15" s="318"/>
    </row>
    <row r="16" spans="1:157" s="331" customFormat="1" ht="61.5" x14ac:dyDescent="0.65">
      <c r="A16" s="1017"/>
      <c r="B16" s="1020"/>
      <c r="C16" s="1023"/>
      <c r="D16" s="1026"/>
      <c r="E16" s="1020"/>
      <c r="F16" s="1000">
        <v>5</v>
      </c>
      <c r="G16" s="1000"/>
      <c r="H16" s="487" t="str">
        <f t="shared" si="6"/>
        <v>2-2-5</v>
      </c>
      <c r="I16" s="487" t="str">
        <f t="shared" si="0"/>
        <v>2-2-5-نعم - يتم الانتقال إلى السؤال التالي</v>
      </c>
      <c r="J16" s="518">
        <v>5</v>
      </c>
      <c r="K16" s="519" t="s">
        <v>79</v>
      </c>
      <c r="L16" s="1002">
        <v>5</v>
      </c>
      <c r="M16" s="520" t="s">
        <v>0</v>
      </c>
      <c r="N16" s="521" t="s">
        <v>80</v>
      </c>
      <c r="O16" s="337" t="s">
        <v>538</v>
      </c>
      <c r="P16" s="491" t="str">
        <f>IF(AND(I16="",P12=0),0,IF(I16="","",IF(P12="-",INDEX('النماذج (الأصل)'!$AC$224:$AE$2295,MATCH(I16,'النماذج (الأصل)'!$AC$224:$AC$295,0),3),0)))</f>
        <v>-</v>
      </c>
      <c r="Q16" s="1010"/>
      <c r="R16" s="1013"/>
      <c r="S16" s="80"/>
      <c r="T16" s="80"/>
      <c r="U16" s="80"/>
      <c r="V16" s="80"/>
      <c r="W16" s="80"/>
      <c r="X16" s="80"/>
      <c r="Y16" s="330"/>
      <c r="Z16" s="330"/>
      <c r="AA16" s="330"/>
      <c r="AB16" s="330"/>
      <c r="AC16" s="80"/>
      <c r="AX16" s="80"/>
      <c r="AY16" s="80"/>
      <c r="AZ16" s="80"/>
      <c r="BA16" s="202"/>
      <c r="BB16" s="201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332"/>
      <c r="BN16" s="332"/>
      <c r="BO16" s="332"/>
      <c r="BQ16" s="318"/>
      <c r="BR16" s="318"/>
      <c r="BS16" s="318"/>
      <c r="BT16" s="318"/>
      <c r="BU16" s="318"/>
      <c r="BV16" s="318"/>
      <c r="BW16" s="318"/>
      <c r="BX16" s="318"/>
      <c r="BY16" s="318"/>
      <c r="BZ16" s="318"/>
      <c r="CA16" s="318"/>
      <c r="CB16" s="318"/>
      <c r="CC16" s="318"/>
      <c r="CD16" s="318"/>
      <c r="CE16" s="318"/>
      <c r="CF16" s="318"/>
      <c r="CG16" s="318"/>
      <c r="CH16" s="318"/>
      <c r="CI16" s="318"/>
      <c r="CJ16" s="318"/>
      <c r="CK16" s="318"/>
      <c r="CL16" s="318"/>
      <c r="CM16" s="318"/>
      <c r="CN16" s="318"/>
      <c r="CO16" s="318"/>
      <c r="CP16" s="318"/>
      <c r="CQ16" s="318"/>
      <c r="CR16" s="318"/>
      <c r="CS16" s="318"/>
      <c r="CT16" s="318"/>
      <c r="CU16" s="318"/>
      <c r="CV16" s="318"/>
      <c r="CW16" s="318"/>
      <c r="CX16" s="318"/>
      <c r="CY16" s="318"/>
      <c r="CZ16" s="318"/>
      <c r="DA16" s="318"/>
      <c r="DB16" s="318"/>
      <c r="DC16" s="318"/>
      <c r="DD16" s="318"/>
      <c r="DE16" s="318"/>
      <c r="DF16" s="318"/>
      <c r="DG16" s="318"/>
      <c r="DH16" s="318"/>
      <c r="DI16" s="318"/>
      <c r="DJ16" s="318"/>
      <c r="DK16" s="318"/>
      <c r="DL16" s="318"/>
      <c r="DM16" s="318"/>
      <c r="DN16" s="318"/>
      <c r="DO16" s="318"/>
      <c r="DP16" s="318"/>
      <c r="DQ16" s="318"/>
      <c r="DR16" s="318"/>
      <c r="DS16" s="318"/>
      <c r="DT16" s="318"/>
      <c r="DU16" s="318"/>
      <c r="DV16" s="318"/>
      <c r="DW16" s="318"/>
      <c r="DX16" s="318"/>
      <c r="DY16" s="318"/>
      <c r="DZ16" s="318"/>
      <c r="EA16" s="318"/>
      <c r="EB16" s="318"/>
      <c r="EC16" s="318"/>
      <c r="ED16" s="318"/>
      <c r="EE16" s="318"/>
      <c r="EF16" s="318"/>
      <c r="EG16" s="318"/>
      <c r="EH16" s="318"/>
      <c r="EI16" s="318"/>
      <c r="EJ16" s="318"/>
      <c r="EK16" s="318"/>
      <c r="EL16" s="318"/>
      <c r="EM16" s="318"/>
      <c r="EN16" s="318"/>
      <c r="EO16" s="318"/>
      <c r="EP16" s="318"/>
      <c r="EQ16" s="318"/>
      <c r="ER16" s="318"/>
      <c r="ES16" s="318"/>
      <c r="ET16" s="318"/>
      <c r="EU16" s="318"/>
      <c r="EV16" s="318"/>
      <c r="EW16" s="318"/>
      <c r="EX16" s="318"/>
      <c r="EY16" s="318"/>
      <c r="EZ16" s="318"/>
      <c r="FA16" s="318"/>
    </row>
    <row r="17" spans="1:157" s="331" customFormat="1" ht="37.5" x14ac:dyDescent="0.65">
      <c r="A17" s="1017"/>
      <c r="B17" s="1020"/>
      <c r="C17" s="1023"/>
      <c r="D17" s="1026"/>
      <c r="E17" s="1020"/>
      <c r="F17" s="1000"/>
      <c r="G17" s="1000"/>
      <c r="H17" s="487" t="str">
        <f t="shared" si="6"/>
        <v>2-2-6</v>
      </c>
      <c r="I17" s="487" t="str">
        <f t="shared" si="0"/>
        <v>2-2-6-نعم - تم الإفصاح .</v>
      </c>
      <c r="J17" s="518">
        <v>6</v>
      </c>
      <c r="K17" s="519" t="s">
        <v>82</v>
      </c>
      <c r="L17" s="1002"/>
      <c r="M17" s="520" t="s">
        <v>0</v>
      </c>
      <c r="N17" s="521" t="s">
        <v>83</v>
      </c>
      <c r="O17" s="337" t="s">
        <v>568</v>
      </c>
      <c r="P17" s="491">
        <f>IF(AND(I17="",P12=0),0,IF(P16=5,0,IF(I17="","",IF(P12=0,0,INDEX('النماذج (الأصل)'!$AC$224:$AE$2295,MATCH(I17,'النماذج (الأصل)'!$AC$224:$AC$295,0),3)))))</f>
        <v>5</v>
      </c>
      <c r="Q17" s="1010"/>
      <c r="R17" s="1013"/>
      <c r="S17" s="80"/>
      <c r="T17" s="80"/>
      <c r="U17" s="80"/>
      <c r="V17" s="80"/>
      <c r="W17" s="80"/>
      <c r="X17" s="80"/>
      <c r="Y17" s="330"/>
      <c r="Z17" s="330"/>
      <c r="AA17" s="330"/>
      <c r="AB17" s="330"/>
      <c r="AC17" s="80"/>
      <c r="AX17" s="80"/>
      <c r="AY17" s="80"/>
      <c r="AZ17" s="80"/>
      <c r="BA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332"/>
      <c r="BN17" s="332"/>
      <c r="BO17" s="332"/>
      <c r="BQ17" s="318"/>
      <c r="BR17" s="318"/>
      <c r="BS17" s="318"/>
      <c r="BT17" s="318"/>
      <c r="BU17" s="318"/>
      <c r="BV17" s="318"/>
      <c r="BW17" s="318"/>
      <c r="BX17" s="318"/>
      <c r="BY17" s="318"/>
      <c r="BZ17" s="318"/>
      <c r="CA17" s="318"/>
      <c r="CB17" s="318"/>
      <c r="CC17" s="318"/>
      <c r="CD17" s="318"/>
      <c r="CE17" s="318"/>
      <c r="CF17" s="318"/>
      <c r="CG17" s="318"/>
      <c r="CH17" s="318"/>
      <c r="CI17" s="318"/>
      <c r="CJ17" s="318"/>
      <c r="CK17" s="318"/>
      <c r="CL17" s="318"/>
      <c r="CM17" s="318"/>
      <c r="CN17" s="318"/>
      <c r="CO17" s="318"/>
      <c r="CP17" s="318"/>
      <c r="CQ17" s="318"/>
      <c r="CR17" s="318"/>
      <c r="CS17" s="318"/>
      <c r="CT17" s="318"/>
      <c r="CU17" s="318"/>
      <c r="CV17" s="318"/>
      <c r="CW17" s="318"/>
      <c r="CX17" s="318"/>
      <c r="CY17" s="318"/>
      <c r="CZ17" s="318"/>
      <c r="DA17" s="318"/>
      <c r="DB17" s="318"/>
      <c r="DC17" s="318"/>
      <c r="DD17" s="318"/>
      <c r="DE17" s="318"/>
      <c r="DF17" s="318"/>
      <c r="DG17" s="318"/>
      <c r="DH17" s="318"/>
      <c r="DI17" s="318"/>
      <c r="DJ17" s="318"/>
      <c r="DK17" s="318"/>
      <c r="DL17" s="318"/>
      <c r="DM17" s="318"/>
      <c r="DN17" s="318"/>
      <c r="DO17" s="318"/>
      <c r="DP17" s="318"/>
      <c r="DQ17" s="318"/>
      <c r="DR17" s="318"/>
      <c r="DS17" s="318"/>
      <c r="DT17" s="318"/>
      <c r="DU17" s="318"/>
      <c r="DV17" s="318"/>
      <c r="DW17" s="318"/>
      <c r="DX17" s="318"/>
      <c r="DY17" s="318"/>
      <c r="DZ17" s="318"/>
      <c r="EA17" s="318"/>
      <c r="EB17" s="318"/>
      <c r="EC17" s="318"/>
      <c r="ED17" s="318"/>
      <c r="EE17" s="318"/>
      <c r="EF17" s="318"/>
      <c r="EG17" s="318"/>
      <c r="EH17" s="318"/>
      <c r="EI17" s="318"/>
      <c r="EJ17" s="318"/>
      <c r="EK17" s="318"/>
      <c r="EL17" s="318"/>
      <c r="EM17" s="318"/>
      <c r="EN17" s="318"/>
      <c r="EO17" s="318"/>
      <c r="EP17" s="318"/>
      <c r="EQ17" s="318"/>
      <c r="ER17" s="318"/>
      <c r="ES17" s="318"/>
      <c r="ET17" s="318"/>
      <c r="EU17" s="318"/>
      <c r="EV17" s="318"/>
      <c r="EW17" s="318"/>
      <c r="EX17" s="318"/>
      <c r="EY17" s="318"/>
      <c r="EZ17" s="318"/>
      <c r="FA17" s="318"/>
    </row>
    <row r="18" spans="1:157" s="331" customFormat="1" ht="61.5" x14ac:dyDescent="0.65">
      <c r="A18" s="1017"/>
      <c r="B18" s="1020"/>
      <c r="C18" s="1023"/>
      <c r="D18" s="1026"/>
      <c r="E18" s="1020"/>
      <c r="F18" s="1000">
        <v>5</v>
      </c>
      <c r="G18" s="1000" t="s">
        <v>89</v>
      </c>
      <c r="H18" s="487" t="str">
        <f t="shared" si="6"/>
        <v>2-2-7</v>
      </c>
      <c r="I18" s="487" t="str">
        <f t="shared" si="0"/>
        <v>2-2-7-نعم - يتم الانتقال إلى السؤال التالي</v>
      </c>
      <c r="J18" s="518">
        <v>7</v>
      </c>
      <c r="K18" s="519" t="s">
        <v>84</v>
      </c>
      <c r="L18" s="1002">
        <v>5</v>
      </c>
      <c r="M18" s="520" t="s">
        <v>16</v>
      </c>
      <c r="N18" s="521" t="s">
        <v>86</v>
      </c>
      <c r="O18" s="337" t="s">
        <v>538</v>
      </c>
      <c r="P18" s="491" t="str">
        <f>IF(AND(I18="",P12=0),0,IF(I18="","",INDEX('النماذج (الأصل)'!$AC$224:$AE$2295,MATCH(I18,'النماذج (الأصل)'!$AC$224:$AC$295,0),3)))</f>
        <v>-</v>
      </c>
      <c r="Q18" s="1010"/>
      <c r="R18" s="1013"/>
      <c r="S18" s="80"/>
      <c r="T18" s="80"/>
      <c r="U18" s="80"/>
      <c r="V18" s="80"/>
      <c r="W18" s="80"/>
      <c r="X18" s="80"/>
      <c r="Y18" s="330"/>
      <c r="Z18" s="330"/>
      <c r="AA18" s="330"/>
      <c r="AB18" s="330"/>
      <c r="AC18" s="80"/>
      <c r="AX18" s="80"/>
      <c r="AY18" s="80"/>
      <c r="AZ18" s="80"/>
      <c r="BA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332"/>
      <c r="BN18" s="332"/>
      <c r="BO18" s="332"/>
      <c r="BQ18" s="318"/>
      <c r="BR18" s="318"/>
      <c r="BS18" s="318"/>
      <c r="BT18" s="318"/>
      <c r="BU18" s="318"/>
      <c r="BV18" s="318"/>
      <c r="BW18" s="318"/>
      <c r="BX18" s="318"/>
      <c r="BY18" s="318"/>
      <c r="BZ18" s="318"/>
      <c r="CA18" s="318"/>
      <c r="CB18" s="318"/>
      <c r="CC18" s="318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318"/>
      <c r="CR18" s="318"/>
      <c r="CS18" s="318"/>
      <c r="CT18" s="318"/>
      <c r="CU18" s="318"/>
      <c r="CV18" s="318"/>
      <c r="CW18" s="318"/>
      <c r="CX18" s="318"/>
      <c r="CY18" s="318"/>
      <c r="CZ18" s="318"/>
      <c r="DA18" s="318"/>
      <c r="DB18" s="318"/>
      <c r="DC18" s="318"/>
      <c r="DD18" s="318"/>
      <c r="DE18" s="318"/>
      <c r="DF18" s="318"/>
      <c r="DG18" s="318"/>
      <c r="DH18" s="318"/>
      <c r="DI18" s="318"/>
      <c r="DJ18" s="318"/>
      <c r="DK18" s="318"/>
      <c r="DL18" s="318"/>
      <c r="DM18" s="318"/>
      <c r="DN18" s="318"/>
      <c r="DO18" s="318"/>
      <c r="DP18" s="318"/>
      <c r="DQ18" s="318"/>
      <c r="DR18" s="318"/>
      <c r="DS18" s="318"/>
      <c r="DT18" s="318"/>
      <c r="DU18" s="318"/>
      <c r="DV18" s="318"/>
      <c r="DW18" s="318"/>
      <c r="DX18" s="318"/>
      <c r="DY18" s="318"/>
      <c r="DZ18" s="318"/>
      <c r="EA18" s="318"/>
      <c r="EB18" s="318"/>
      <c r="EC18" s="318"/>
      <c r="ED18" s="318"/>
      <c r="EE18" s="318"/>
      <c r="EF18" s="318"/>
      <c r="EG18" s="318"/>
      <c r="EH18" s="318"/>
      <c r="EI18" s="318"/>
      <c r="EJ18" s="318"/>
      <c r="EK18" s="318"/>
      <c r="EL18" s="318"/>
      <c r="EM18" s="318"/>
      <c r="EN18" s="318"/>
      <c r="EO18" s="318"/>
      <c r="EP18" s="318"/>
      <c r="EQ18" s="318"/>
      <c r="ER18" s="318"/>
      <c r="ES18" s="318"/>
      <c r="ET18" s="318"/>
      <c r="EU18" s="318"/>
      <c r="EV18" s="318"/>
      <c r="EW18" s="318"/>
      <c r="EX18" s="318"/>
      <c r="EY18" s="318"/>
      <c r="EZ18" s="318"/>
      <c r="FA18" s="318"/>
    </row>
    <row r="19" spans="1:157" s="331" customFormat="1" ht="38.25" thickBot="1" x14ac:dyDescent="0.7">
      <c r="A19" s="1017"/>
      <c r="B19" s="1020"/>
      <c r="C19" s="1023"/>
      <c r="D19" s="1032"/>
      <c r="E19" s="1029"/>
      <c r="F19" s="1001"/>
      <c r="G19" s="1001"/>
      <c r="H19" s="496" t="str">
        <f t="shared" si="6"/>
        <v>2-2-8</v>
      </c>
      <c r="I19" s="496" t="str">
        <f t="shared" si="0"/>
        <v>2-2-8-نعم - تم الإفصاح .</v>
      </c>
      <c r="J19" s="522">
        <v>8</v>
      </c>
      <c r="K19" s="523" t="s">
        <v>85</v>
      </c>
      <c r="L19" s="1003"/>
      <c r="M19" s="524" t="s">
        <v>0</v>
      </c>
      <c r="N19" s="525" t="s">
        <v>88</v>
      </c>
      <c r="O19" s="497" t="s">
        <v>568</v>
      </c>
      <c r="P19" s="492">
        <f>IF(AND(I19="",P12=0),0,IF(I19="","",IF(AND(P12="-",P18="-"),INDEX('النماذج (الأصل)'!$AC$224:$AE$2295,MATCH(I19,'النماذج (الأصل)'!$AC$224:$AC$295,0),3),0)))</f>
        <v>5</v>
      </c>
      <c r="Q19" s="1014"/>
      <c r="R19" s="1013"/>
      <c r="S19" s="80"/>
      <c r="T19" s="80"/>
      <c r="U19" s="80"/>
      <c r="V19" s="80"/>
      <c r="W19" s="80"/>
      <c r="X19" s="80"/>
      <c r="Y19" s="330"/>
      <c r="Z19" s="330"/>
      <c r="AA19" s="330"/>
      <c r="AB19" s="330"/>
      <c r="AC19" s="80"/>
      <c r="AX19" s="80"/>
      <c r="AY19" s="80"/>
      <c r="AZ19" s="80"/>
      <c r="BA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332"/>
      <c r="BN19" s="332"/>
      <c r="BO19" s="332"/>
      <c r="BQ19" s="318"/>
      <c r="BR19" s="318"/>
      <c r="BS19" s="318"/>
      <c r="BT19" s="318"/>
      <c r="BU19" s="318"/>
      <c r="BV19" s="318"/>
      <c r="BW19" s="318"/>
      <c r="BX19" s="318"/>
      <c r="BY19" s="318"/>
      <c r="BZ19" s="318"/>
      <c r="CA19" s="318"/>
      <c r="CB19" s="318"/>
      <c r="CC19" s="318"/>
      <c r="CD19" s="318"/>
      <c r="CE19" s="318"/>
      <c r="CF19" s="318"/>
      <c r="CG19" s="318"/>
      <c r="CH19" s="318"/>
      <c r="CI19" s="318"/>
      <c r="CJ19" s="318"/>
      <c r="CK19" s="318"/>
      <c r="CL19" s="318"/>
      <c r="CM19" s="318"/>
      <c r="CN19" s="318"/>
      <c r="CO19" s="318"/>
      <c r="CP19" s="318"/>
      <c r="CQ19" s="318"/>
      <c r="CR19" s="318"/>
      <c r="CS19" s="318"/>
      <c r="CT19" s="318"/>
      <c r="CU19" s="318"/>
      <c r="CV19" s="318"/>
      <c r="CW19" s="318"/>
      <c r="CX19" s="318"/>
      <c r="CY19" s="318"/>
      <c r="CZ19" s="318"/>
      <c r="DA19" s="318"/>
      <c r="DB19" s="318"/>
      <c r="DC19" s="318"/>
      <c r="DD19" s="318"/>
      <c r="DE19" s="318"/>
      <c r="DF19" s="318"/>
      <c r="DG19" s="318"/>
      <c r="DH19" s="318"/>
      <c r="DI19" s="318"/>
      <c r="DJ19" s="318"/>
      <c r="DK19" s="318"/>
      <c r="DL19" s="318"/>
      <c r="DM19" s="318"/>
      <c r="DN19" s="318"/>
      <c r="DO19" s="318"/>
      <c r="DP19" s="318"/>
      <c r="DQ19" s="318"/>
      <c r="DR19" s="318"/>
      <c r="DS19" s="318"/>
      <c r="DT19" s="318"/>
      <c r="DU19" s="318"/>
      <c r="DV19" s="318"/>
      <c r="DW19" s="318"/>
      <c r="DX19" s="318"/>
      <c r="DY19" s="318"/>
      <c r="DZ19" s="318"/>
      <c r="EA19" s="318"/>
      <c r="EB19" s="318"/>
      <c r="EC19" s="318"/>
      <c r="ED19" s="318"/>
      <c r="EE19" s="318"/>
      <c r="EF19" s="318"/>
      <c r="EG19" s="318"/>
      <c r="EH19" s="318"/>
      <c r="EI19" s="318"/>
      <c r="EJ19" s="318"/>
      <c r="EK19" s="318"/>
      <c r="EL19" s="318"/>
      <c r="EM19" s="318"/>
      <c r="EN19" s="318"/>
      <c r="EO19" s="318"/>
      <c r="EP19" s="318"/>
      <c r="EQ19" s="318"/>
      <c r="ER19" s="318"/>
      <c r="ES19" s="318"/>
      <c r="ET19" s="318"/>
      <c r="EU19" s="318"/>
      <c r="EV19" s="318"/>
      <c r="EW19" s="318"/>
      <c r="EX19" s="318"/>
      <c r="EY19" s="318"/>
      <c r="EZ19" s="318"/>
      <c r="FA19" s="318"/>
    </row>
    <row r="20" spans="1:157" s="331" customFormat="1" ht="61.5" x14ac:dyDescent="0.65">
      <c r="A20" s="1017"/>
      <c r="B20" s="1020"/>
      <c r="C20" s="1023"/>
      <c r="D20" s="1025">
        <v>0.1</v>
      </c>
      <c r="E20" s="1019">
        <v>3</v>
      </c>
      <c r="F20" s="1007">
        <v>10</v>
      </c>
      <c r="G20" s="1034" t="s">
        <v>496</v>
      </c>
      <c r="H20" s="489" t="str">
        <f>$B$12&amp;"-"&amp;$E$20&amp;"-"&amp;J20</f>
        <v>2-3-1</v>
      </c>
      <c r="I20" s="489" t="str">
        <f t="shared" si="0"/>
        <v>2-3-1-نعم - يتم الانتقال إلى السؤال التالي</v>
      </c>
      <c r="J20" s="526">
        <v>1</v>
      </c>
      <c r="K20" s="527" t="s">
        <v>494</v>
      </c>
      <c r="L20" s="1015">
        <v>10</v>
      </c>
      <c r="M20" s="528" t="s">
        <v>0</v>
      </c>
      <c r="N20" s="529" t="s">
        <v>495</v>
      </c>
      <c r="O20" s="338" t="s">
        <v>538</v>
      </c>
      <c r="P20" s="493" t="str">
        <f>IF(I21="","",INDEX('النماذج (الأصل)'!$AC$224:$AE$2295,MATCH(I20,'النماذج (الأصل)'!$AC$224:$AC$295,0),3))</f>
        <v>-</v>
      </c>
      <c r="Q20" s="1009">
        <f>IF(P20=0,0,SUM(P20:P21))</f>
        <v>10</v>
      </c>
      <c r="R20" s="1013"/>
      <c r="S20" s="80"/>
      <c r="T20" s="80"/>
      <c r="U20" s="80"/>
      <c r="V20" s="80"/>
      <c r="W20" s="80"/>
      <c r="X20" s="80"/>
      <c r="Y20" s="330"/>
      <c r="Z20" s="330"/>
      <c r="AA20" s="330"/>
      <c r="AB20" s="330"/>
      <c r="AC20" s="80"/>
      <c r="AX20" s="80"/>
      <c r="AY20" s="80"/>
      <c r="AZ20" s="80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332"/>
      <c r="BN20" s="332"/>
      <c r="BO20" s="332"/>
      <c r="BQ20" s="318"/>
      <c r="BR20" s="318"/>
      <c r="BS20" s="318"/>
      <c r="BT20" s="318"/>
      <c r="BU20" s="318"/>
      <c r="BV20" s="318"/>
      <c r="BW20" s="318"/>
      <c r="BX20" s="318"/>
      <c r="BY20" s="318"/>
      <c r="BZ20" s="318"/>
      <c r="CA20" s="318"/>
      <c r="CB20" s="318"/>
      <c r="CC20" s="318"/>
      <c r="CD20" s="318"/>
      <c r="CE20" s="318"/>
      <c r="CF20" s="318"/>
      <c r="CG20" s="318"/>
      <c r="CH20" s="318"/>
      <c r="CI20" s="318"/>
      <c r="CJ20" s="318"/>
      <c r="CK20" s="318"/>
      <c r="CL20" s="318"/>
      <c r="CM20" s="318"/>
      <c r="CN20" s="318"/>
      <c r="CO20" s="318"/>
      <c r="CP20" s="318"/>
      <c r="CQ20" s="318"/>
      <c r="CR20" s="318"/>
      <c r="CS20" s="318"/>
      <c r="CT20" s="318"/>
      <c r="CU20" s="318"/>
      <c r="CV20" s="318"/>
      <c r="CW20" s="318"/>
      <c r="CX20" s="318"/>
      <c r="CY20" s="318"/>
      <c r="CZ20" s="318"/>
      <c r="DA20" s="318"/>
      <c r="DB20" s="318"/>
      <c r="DC20" s="318"/>
      <c r="DD20" s="318"/>
      <c r="DE20" s="318"/>
      <c r="DF20" s="318"/>
      <c r="DG20" s="318"/>
      <c r="DH20" s="318"/>
      <c r="DI20" s="318"/>
      <c r="DJ20" s="318"/>
      <c r="DK20" s="318"/>
      <c r="DL20" s="318"/>
      <c r="DM20" s="318"/>
      <c r="DN20" s="318"/>
      <c r="DO20" s="318"/>
      <c r="DP20" s="318"/>
      <c r="DQ20" s="318"/>
      <c r="DR20" s="318"/>
      <c r="DS20" s="318"/>
      <c r="DT20" s="318"/>
      <c r="DU20" s="318"/>
      <c r="DV20" s="318"/>
      <c r="DW20" s="318"/>
      <c r="DX20" s="318"/>
      <c r="DY20" s="318"/>
      <c r="DZ20" s="318"/>
      <c r="EA20" s="318"/>
      <c r="EB20" s="318"/>
      <c r="EC20" s="318"/>
      <c r="ED20" s="318"/>
      <c r="EE20" s="318"/>
      <c r="EF20" s="318"/>
      <c r="EG20" s="318"/>
      <c r="EH20" s="318"/>
      <c r="EI20" s="318"/>
      <c r="EJ20" s="318"/>
      <c r="EK20" s="318"/>
      <c r="EL20" s="318"/>
      <c r="EM20" s="318"/>
      <c r="EN20" s="318"/>
      <c r="EO20" s="318"/>
      <c r="EP20" s="318"/>
      <c r="EQ20" s="318"/>
      <c r="ER20" s="318"/>
      <c r="ES20" s="318"/>
      <c r="ET20" s="318"/>
      <c r="EU20" s="318"/>
      <c r="EV20" s="318"/>
      <c r="EW20" s="318"/>
      <c r="EX20" s="318"/>
      <c r="EY20" s="318"/>
      <c r="EZ20" s="318"/>
      <c r="FA20" s="318"/>
    </row>
    <row r="21" spans="1:157" s="331" customFormat="1" ht="38.25" thickBot="1" x14ac:dyDescent="0.7">
      <c r="A21" s="1028"/>
      <c r="B21" s="1029"/>
      <c r="C21" s="1033"/>
      <c r="D21" s="1032"/>
      <c r="E21" s="1029"/>
      <c r="F21" s="1001"/>
      <c r="G21" s="1035"/>
      <c r="H21" s="496" t="str">
        <f>$B$12&amp;"-"&amp;$E$20&amp;"-"&amp;J21</f>
        <v>2-3-2</v>
      </c>
      <c r="I21" s="496" t="str">
        <f t="shared" si="0"/>
        <v>2-3-2-نعم - يتم التفاعل</v>
      </c>
      <c r="J21" s="522">
        <v>2</v>
      </c>
      <c r="K21" s="523" t="s">
        <v>91</v>
      </c>
      <c r="L21" s="1003"/>
      <c r="M21" s="524" t="s">
        <v>13</v>
      </c>
      <c r="N21" s="525" t="s">
        <v>94</v>
      </c>
      <c r="O21" s="497" t="s">
        <v>569</v>
      </c>
      <c r="P21" s="492">
        <f>IF(AND(I21="",P20=0),0,IF(I21="","",IF(P20="-",INDEX('النماذج (الأصل)'!$AC$224:$AE$2295,MATCH(I21,'النماذج (الأصل)'!$AC$224:$AC$295,0),3),0)))</f>
        <v>10</v>
      </c>
      <c r="Q21" s="1014"/>
      <c r="R21" s="1013"/>
      <c r="S21" s="80"/>
      <c r="T21" s="80"/>
      <c r="U21" s="80"/>
      <c r="V21" s="80"/>
      <c r="W21" s="80"/>
      <c r="X21" s="80"/>
      <c r="Y21" s="330"/>
      <c r="Z21" s="330"/>
      <c r="AA21" s="330"/>
      <c r="AB21" s="330"/>
      <c r="AC21" s="80"/>
      <c r="AX21" s="80"/>
      <c r="AY21" s="80"/>
      <c r="AZ21" s="80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332"/>
      <c r="BN21" s="332"/>
      <c r="BO21" s="332"/>
      <c r="BQ21" s="318"/>
      <c r="BR21" s="318"/>
      <c r="BS21" s="318"/>
      <c r="BT21" s="318"/>
      <c r="BU21" s="318"/>
      <c r="BV21" s="318"/>
      <c r="BW21" s="318"/>
      <c r="BX21" s="318"/>
      <c r="BY21" s="318"/>
      <c r="BZ21" s="318"/>
      <c r="CA21" s="318"/>
      <c r="CB21" s="318"/>
      <c r="CC21" s="318"/>
      <c r="CD21" s="318"/>
      <c r="CE21" s="318"/>
      <c r="CF21" s="318"/>
      <c r="CG21" s="318"/>
      <c r="CH21" s="318"/>
      <c r="CI21" s="318"/>
      <c r="CJ21" s="318"/>
      <c r="CK21" s="318"/>
      <c r="CL21" s="318"/>
      <c r="CM21" s="318"/>
      <c r="CN21" s="318"/>
      <c r="CO21" s="318"/>
      <c r="CP21" s="318"/>
      <c r="CQ21" s="318"/>
      <c r="CR21" s="318"/>
      <c r="CS21" s="318"/>
      <c r="CT21" s="318"/>
      <c r="CU21" s="318"/>
      <c r="CV21" s="318"/>
      <c r="CW21" s="318"/>
      <c r="CX21" s="318"/>
      <c r="CY21" s="318"/>
      <c r="CZ21" s="318"/>
      <c r="DA21" s="318"/>
      <c r="DB21" s="318"/>
      <c r="DC21" s="318"/>
      <c r="DD21" s="318"/>
      <c r="DE21" s="318"/>
      <c r="DF21" s="318"/>
      <c r="DG21" s="318"/>
      <c r="DH21" s="318"/>
      <c r="DI21" s="318"/>
      <c r="DJ21" s="318"/>
      <c r="DK21" s="318"/>
      <c r="DL21" s="318"/>
      <c r="DM21" s="318"/>
      <c r="DN21" s="318"/>
      <c r="DO21" s="318"/>
      <c r="DP21" s="318"/>
      <c r="DQ21" s="318"/>
      <c r="DR21" s="318"/>
      <c r="DS21" s="318"/>
      <c r="DT21" s="318"/>
      <c r="DU21" s="318"/>
      <c r="DV21" s="318"/>
      <c r="DW21" s="318"/>
      <c r="DX21" s="318"/>
      <c r="DY21" s="318"/>
      <c r="DZ21" s="318"/>
      <c r="EA21" s="318"/>
      <c r="EB21" s="318"/>
      <c r="EC21" s="318"/>
      <c r="ED21" s="318"/>
      <c r="EE21" s="318"/>
      <c r="EF21" s="318"/>
      <c r="EG21" s="318"/>
      <c r="EH21" s="318"/>
      <c r="EI21" s="318"/>
      <c r="EJ21" s="318"/>
      <c r="EK21" s="318"/>
      <c r="EL21" s="318"/>
      <c r="EM21" s="318"/>
      <c r="EN21" s="318"/>
      <c r="EO21" s="318"/>
      <c r="EP21" s="318"/>
      <c r="EQ21" s="318"/>
      <c r="ER21" s="318"/>
      <c r="ES21" s="318"/>
      <c r="ET21" s="318"/>
      <c r="EU21" s="318"/>
      <c r="EV21" s="318"/>
      <c r="EW21" s="318"/>
      <c r="EX21" s="318"/>
      <c r="EY21" s="318"/>
      <c r="EZ21" s="318"/>
      <c r="FA21" s="318"/>
    </row>
    <row r="22" spans="1:157" s="331" customFormat="1" ht="61.5" x14ac:dyDescent="0.65">
      <c r="A22" s="1016" t="s">
        <v>448</v>
      </c>
      <c r="B22" s="1019">
        <v>3</v>
      </c>
      <c r="C22" s="1030" t="s">
        <v>44</v>
      </c>
      <c r="D22" s="1025">
        <v>0.2</v>
      </c>
      <c r="E22" s="1019">
        <v>4</v>
      </c>
      <c r="F22" s="488">
        <v>10</v>
      </c>
      <c r="G22" s="488" t="s">
        <v>95</v>
      </c>
      <c r="H22" s="488" t="str">
        <f>$B$22&amp;"-"&amp;$E$22&amp;"-"&amp;J22</f>
        <v>3-4-1</v>
      </c>
      <c r="I22" s="488" t="str">
        <f t="shared" si="0"/>
        <v xml:space="preserve">3-4-1-نعم - تم النشر بشكل متكامل </v>
      </c>
      <c r="J22" s="526">
        <v>1</v>
      </c>
      <c r="K22" s="527" t="s">
        <v>492</v>
      </c>
      <c r="L22" s="526">
        <v>10</v>
      </c>
      <c r="M22" s="528" t="s">
        <v>0</v>
      </c>
      <c r="N22" s="529" t="s">
        <v>99</v>
      </c>
      <c r="O22" s="339" t="s">
        <v>557</v>
      </c>
      <c r="P22" s="493">
        <f>IF(I22="","",INDEX('النماذج (الأصل)'!$AC$224:$AE$2295,MATCH(I22,'النماذج (الأصل)'!$AC$224:$AC$295,0),3))</f>
        <v>10</v>
      </c>
      <c r="Q22" s="1009">
        <f>SUM(P22:P23)</f>
        <v>20</v>
      </c>
      <c r="R22" s="1012">
        <f>IF(AH6&gt;0,"الإجابات ناقصة",SUM(Q22:Q23))</f>
        <v>20</v>
      </c>
      <c r="S22" s="80"/>
      <c r="T22" s="80"/>
      <c r="U22" s="80"/>
      <c r="V22" s="80"/>
      <c r="W22" s="80"/>
      <c r="X22" s="80"/>
      <c r="Y22" s="330"/>
      <c r="Z22" s="330"/>
      <c r="AA22" s="330"/>
      <c r="AB22" s="330"/>
      <c r="AC22" s="80"/>
      <c r="AX22" s="80"/>
      <c r="AY22" s="80"/>
      <c r="AZ22" s="80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332"/>
      <c r="BN22" s="332"/>
      <c r="BO22" s="332"/>
      <c r="BQ22" s="318"/>
      <c r="BR22" s="318"/>
      <c r="BS22" s="318"/>
      <c r="BT22" s="318"/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  <c r="CE22" s="318"/>
      <c r="CF22" s="318"/>
      <c r="CG22" s="318"/>
      <c r="CH22" s="318"/>
      <c r="CI22" s="318"/>
      <c r="CJ22" s="318"/>
      <c r="CK22" s="318"/>
      <c r="CL22" s="318"/>
      <c r="CM22" s="318"/>
      <c r="CN22" s="318"/>
      <c r="CO22" s="318"/>
      <c r="CP22" s="318"/>
      <c r="CQ22" s="318"/>
      <c r="CR22" s="318"/>
      <c r="CS22" s="318"/>
      <c r="CT22" s="318"/>
      <c r="CU22" s="318"/>
      <c r="CV22" s="318"/>
      <c r="CW22" s="318"/>
      <c r="CX22" s="318"/>
      <c r="CY22" s="318"/>
      <c r="CZ22" s="318"/>
      <c r="DA22" s="318"/>
      <c r="DB22" s="318"/>
      <c r="DC22" s="318"/>
      <c r="DD22" s="318"/>
      <c r="DE22" s="318"/>
      <c r="DF22" s="318"/>
      <c r="DG22" s="318"/>
      <c r="DH22" s="318"/>
      <c r="DI22" s="318"/>
      <c r="DJ22" s="318"/>
      <c r="DK22" s="318"/>
      <c r="DL22" s="318"/>
      <c r="DM22" s="318"/>
      <c r="DN22" s="318"/>
      <c r="DO22" s="318"/>
      <c r="DP22" s="318"/>
      <c r="DQ22" s="318"/>
      <c r="DR22" s="318"/>
      <c r="DS22" s="318"/>
      <c r="DT22" s="318"/>
      <c r="DU22" s="318"/>
      <c r="DV22" s="318"/>
      <c r="DW22" s="318"/>
      <c r="DX22" s="318"/>
      <c r="DY22" s="318"/>
      <c r="DZ22" s="318"/>
      <c r="EA22" s="318"/>
      <c r="EB22" s="318"/>
      <c r="EC22" s="318"/>
      <c r="ED22" s="318"/>
      <c r="EE22" s="318"/>
      <c r="EF22" s="318"/>
      <c r="EG22" s="318"/>
      <c r="EH22" s="318"/>
      <c r="EI22" s="318"/>
      <c r="EJ22" s="318"/>
      <c r="EK22" s="318"/>
      <c r="EL22" s="318"/>
      <c r="EM22" s="318"/>
      <c r="EN22" s="318"/>
      <c r="EO22" s="318"/>
      <c r="EP22" s="318"/>
      <c r="EQ22" s="318"/>
      <c r="ER22" s="318"/>
      <c r="ES22" s="318"/>
      <c r="ET22" s="318"/>
      <c r="EU22" s="318"/>
      <c r="EV22" s="318"/>
      <c r="EW22" s="318"/>
      <c r="EX22" s="318"/>
      <c r="EY22" s="318"/>
      <c r="EZ22" s="318"/>
      <c r="FA22" s="318"/>
    </row>
    <row r="23" spans="1:157" s="331" customFormat="1" ht="62.25" thickBot="1" x14ac:dyDescent="0.7">
      <c r="A23" s="1028"/>
      <c r="B23" s="1029"/>
      <c r="C23" s="1031"/>
      <c r="D23" s="1032"/>
      <c r="E23" s="1029"/>
      <c r="F23" s="496">
        <v>10</v>
      </c>
      <c r="G23" s="496" t="s">
        <v>96</v>
      </c>
      <c r="H23" s="496" t="str">
        <f>$B$22&amp;"-"&amp;$E$22&amp;"-"&amp;J23</f>
        <v>3-4-2</v>
      </c>
      <c r="I23" s="496" t="str">
        <f t="shared" si="0"/>
        <v xml:space="preserve">3-4-2-نعم - تم النشر بشكل متكامل </v>
      </c>
      <c r="J23" s="522">
        <v>2</v>
      </c>
      <c r="K23" s="523" t="s">
        <v>509</v>
      </c>
      <c r="L23" s="522">
        <v>10</v>
      </c>
      <c r="M23" s="524" t="s">
        <v>0</v>
      </c>
      <c r="N23" s="525" t="s">
        <v>100</v>
      </c>
      <c r="O23" s="498" t="s">
        <v>557</v>
      </c>
      <c r="P23" s="492">
        <f>IF(I23="","",INDEX('النماذج (الأصل)'!$AC$224:$AE$2295,MATCH(I23,'النماذج (الأصل)'!$AC$224:$AC$295,0),3))</f>
        <v>10</v>
      </c>
      <c r="Q23" s="1014"/>
      <c r="R23" s="1013"/>
      <c r="S23" s="80"/>
      <c r="T23" s="80"/>
      <c r="U23" s="80"/>
      <c r="V23" s="80"/>
      <c r="W23" s="80"/>
      <c r="X23" s="80"/>
      <c r="Y23" s="330"/>
      <c r="Z23" s="330"/>
      <c r="AA23" s="330"/>
      <c r="AB23" s="330"/>
      <c r="AC23" s="80"/>
      <c r="AX23" s="80"/>
      <c r="AY23" s="80"/>
      <c r="AZ23" s="80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332"/>
      <c r="BN23" s="332"/>
      <c r="BO23" s="332"/>
      <c r="BQ23" s="318"/>
      <c r="BR23" s="318"/>
      <c r="BS23" s="318"/>
      <c r="BT23" s="318"/>
      <c r="BU23" s="318"/>
      <c r="BV23" s="318"/>
      <c r="BW23" s="318"/>
      <c r="BX23" s="318"/>
      <c r="BY23" s="318"/>
      <c r="BZ23" s="318"/>
      <c r="CA23" s="318"/>
      <c r="CB23" s="318"/>
      <c r="CC23" s="318"/>
      <c r="CD23" s="318"/>
      <c r="CE23" s="318"/>
      <c r="CF23" s="318"/>
      <c r="CG23" s="318"/>
      <c r="CH23" s="318"/>
      <c r="CI23" s="318"/>
      <c r="CJ23" s="318"/>
      <c r="CK23" s="318"/>
      <c r="CL23" s="318"/>
      <c r="CM23" s="318"/>
      <c r="CN23" s="318"/>
      <c r="CO23" s="318"/>
      <c r="CP23" s="318"/>
      <c r="CQ23" s="318"/>
      <c r="CR23" s="318"/>
      <c r="CS23" s="318"/>
      <c r="CT23" s="318"/>
      <c r="CU23" s="318"/>
      <c r="CV23" s="318"/>
      <c r="CW23" s="318"/>
      <c r="CX23" s="318"/>
      <c r="CY23" s="318"/>
      <c r="CZ23" s="318"/>
      <c r="DA23" s="318"/>
      <c r="DB23" s="318"/>
      <c r="DC23" s="318"/>
      <c r="DD23" s="318"/>
      <c r="DE23" s="318"/>
      <c r="DF23" s="318"/>
      <c r="DG23" s="318"/>
      <c r="DH23" s="318"/>
      <c r="DI23" s="318"/>
      <c r="DJ23" s="318"/>
      <c r="DK23" s="318"/>
      <c r="DL23" s="318"/>
      <c r="DM23" s="318"/>
      <c r="DN23" s="318"/>
      <c r="DO23" s="318"/>
      <c r="DP23" s="318"/>
      <c r="DQ23" s="318"/>
      <c r="DR23" s="318"/>
      <c r="DS23" s="318"/>
      <c r="DT23" s="318"/>
      <c r="DU23" s="318"/>
      <c r="DV23" s="318"/>
      <c r="DW23" s="318"/>
      <c r="DX23" s="318"/>
      <c r="DY23" s="318"/>
      <c r="DZ23" s="318"/>
      <c r="EA23" s="318"/>
      <c r="EB23" s="318"/>
      <c r="EC23" s="318"/>
      <c r="ED23" s="318"/>
      <c r="EE23" s="318"/>
      <c r="EF23" s="318"/>
      <c r="EG23" s="318"/>
      <c r="EH23" s="318"/>
      <c r="EI23" s="318"/>
      <c r="EJ23" s="318"/>
      <c r="EK23" s="318"/>
      <c r="EL23" s="318"/>
      <c r="EM23" s="318"/>
      <c r="EN23" s="318"/>
      <c r="EO23" s="318"/>
      <c r="EP23" s="318"/>
      <c r="EQ23" s="318"/>
      <c r="ER23" s="318"/>
      <c r="ES23" s="318"/>
      <c r="ET23" s="318"/>
      <c r="EU23" s="318"/>
      <c r="EV23" s="318"/>
      <c r="EW23" s="318"/>
      <c r="EX23" s="318"/>
      <c r="EY23" s="318"/>
      <c r="EZ23" s="318"/>
      <c r="FA23" s="318"/>
    </row>
    <row r="24" spans="1:157" s="331" customFormat="1" ht="61.5" x14ac:dyDescent="0.65">
      <c r="A24" s="1016" t="s">
        <v>449</v>
      </c>
      <c r="B24" s="1019">
        <v>4</v>
      </c>
      <c r="C24" s="1022" t="s">
        <v>104</v>
      </c>
      <c r="D24" s="1025">
        <v>0.1</v>
      </c>
      <c r="E24" s="1019">
        <v>5</v>
      </c>
      <c r="F24" s="1007">
        <v>4</v>
      </c>
      <c r="G24" s="1007" t="s">
        <v>106</v>
      </c>
      <c r="H24" s="489" t="str">
        <f>$B$24&amp;"-"&amp;$E$24&amp;"-"&amp;J24</f>
        <v>4-5-1</v>
      </c>
      <c r="I24" s="489" t="str">
        <f t="shared" si="0"/>
        <v>4-5-1-نعم - تم توفره بشكل متكامل.</v>
      </c>
      <c r="J24" s="526">
        <v>1</v>
      </c>
      <c r="K24" s="527" t="s">
        <v>24</v>
      </c>
      <c r="L24" s="526">
        <v>4</v>
      </c>
      <c r="M24" s="528" t="s">
        <v>0</v>
      </c>
      <c r="N24" s="529" t="s">
        <v>105</v>
      </c>
      <c r="O24" s="340" t="s">
        <v>570</v>
      </c>
      <c r="P24" s="493">
        <f>IF(I24="","",INDEX('النماذج (الأصل)'!$AC$224:$AE$2295,MATCH(I24,'النماذج (الأصل)'!$AC$224:$AC$295,0),3))</f>
        <v>4</v>
      </c>
      <c r="Q24" s="1009">
        <f>SUM(P24:P26)</f>
        <v>10</v>
      </c>
      <c r="R24" s="1004">
        <f>IF(AH7&gt;0,"الإجابات ناقصة",SUM(Q24:Q26))</f>
        <v>10</v>
      </c>
      <c r="S24" s="80"/>
      <c r="T24" s="80"/>
      <c r="U24" s="80"/>
      <c r="V24" s="80"/>
      <c r="W24" s="80"/>
      <c r="X24" s="80"/>
      <c r="Y24" s="330"/>
      <c r="Z24" s="330"/>
      <c r="AA24" s="330"/>
      <c r="AB24" s="330"/>
      <c r="AC24" s="80"/>
      <c r="AX24" s="80"/>
      <c r="AY24" s="80"/>
      <c r="AZ24" s="80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332"/>
      <c r="BN24" s="332"/>
      <c r="BO24" s="332"/>
      <c r="BQ24" s="318"/>
      <c r="BR24" s="318"/>
      <c r="BS24" s="318"/>
      <c r="BT24" s="318"/>
      <c r="BU24" s="318"/>
      <c r="BV24" s="318"/>
      <c r="BW24" s="318"/>
      <c r="BX24" s="318"/>
      <c r="BY24" s="318"/>
      <c r="BZ24" s="318"/>
      <c r="CA24" s="318"/>
      <c r="CB24" s="318"/>
      <c r="CC24" s="318"/>
      <c r="CD24" s="318"/>
      <c r="CE24" s="318"/>
      <c r="CF24" s="318"/>
      <c r="CG24" s="318"/>
      <c r="CH24" s="318"/>
      <c r="CI24" s="318"/>
      <c r="CJ24" s="318"/>
      <c r="CK24" s="318"/>
      <c r="CL24" s="318"/>
      <c r="CM24" s="318"/>
      <c r="CN24" s="318"/>
      <c r="CO24" s="318"/>
      <c r="CP24" s="318"/>
      <c r="CQ24" s="318"/>
      <c r="CR24" s="318"/>
      <c r="CS24" s="318"/>
      <c r="CT24" s="318"/>
      <c r="CU24" s="318"/>
      <c r="CV24" s="318"/>
      <c r="CW24" s="318"/>
      <c r="CX24" s="318"/>
      <c r="CY24" s="318"/>
      <c r="CZ24" s="318"/>
      <c r="DA24" s="318"/>
      <c r="DB24" s="318"/>
      <c r="DC24" s="318"/>
      <c r="DD24" s="318"/>
      <c r="DE24" s="318"/>
      <c r="DF24" s="318"/>
      <c r="DG24" s="318"/>
      <c r="DH24" s="318"/>
      <c r="DI24" s="318"/>
      <c r="DJ24" s="318"/>
      <c r="DK24" s="318"/>
      <c r="DL24" s="318"/>
      <c r="DM24" s="318"/>
      <c r="DN24" s="318"/>
      <c r="DO24" s="318"/>
      <c r="DP24" s="318"/>
      <c r="DQ24" s="318"/>
      <c r="DR24" s="318"/>
      <c r="DS24" s="318"/>
      <c r="DT24" s="318"/>
      <c r="DU24" s="318"/>
      <c r="DV24" s="318"/>
      <c r="DW24" s="318"/>
      <c r="DX24" s="318"/>
      <c r="DY24" s="318"/>
      <c r="DZ24" s="318"/>
      <c r="EA24" s="318"/>
      <c r="EB24" s="318"/>
      <c r="EC24" s="318"/>
      <c r="ED24" s="318"/>
      <c r="EE24" s="318"/>
      <c r="EF24" s="318"/>
      <c r="EG24" s="318"/>
      <c r="EH24" s="318"/>
      <c r="EI24" s="318"/>
      <c r="EJ24" s="318"/>
      <c r="EK24" s="318"/>
      <c r="EL24" s="318"/>
      <c r="EM24" s="318"/>
      <c r="EN24" s="318"/>
      <c r="EO24" s="318"/>
      <c r="EP24" s="318"/>
      <c r="EQ24" s="318"/>
      <c r="ER24" s="318"/>
      <c r="ES24" s="318"/>
      <c r="ET24" s="318"/>
      <c r="EU24" s="318"/>
      <c r="EV24" s="318"/>
      <c r="EW24" s="318"/>
      <c r="EX24" s="318"/>
      <c r="EY24" s="318"/>
      <c r="EZ24" s="318"/>
      <c r="FA24" s="318"/>
    </row>
    <row r="25" spans="1:157" s="331" customFormat="1" ht="37.5" x14ac:dyDescent="0.65">
      <c r="A25" s="1017"/>
      <c r="B25" s="1020"/>
      <c r="C25" s="1023"/>
      <c r="D25" s="1026"/>
      <c r="E25" s="1020"/>
      <c r="F25" s="1000">
        <v>2</v>
      </c>
      <c r="G25" s="1000"/>
      <c r="H25" s="487" t="str">
        <f t="shared" ref="H25:H26" si="7">$B$24&amp;"-"&amp;$E$24&amp;"-"&amp;J25</f>
        <v>4-5-2</v>
      </c>
      <c r="I25" s="487" t="str">
        <f t="shared" si="0"/>
        <v>4-5-2-نعم - تم الاعتماد.</v>
      </c>
      <c r="J25" s="518">
        <v>2</v>
      </c>
      <c r="K25" s="519" t="s">
        <v>109</v>
      </c>
      <c r="L25" s="518">
        <v>2</v>
      </c>
      <c r="M25" s="520" t="s">
        <v>0</v>
      </c>
      <c r="N25" s="521" t="s">
        <v>110</v>
      </c>
      <c r="O25" s="341" t="s">
        <v>571</v>
      </c>
      <c r="P25" s="491">
        <f>IF(I25="","",INDEX('النماذج (الأصل)'!$AC$224:$AE$2295,MATCH(I25,'النماذج (الأصل)'!$AC$224:$AC$295,0),3))</f>
        <v>2</v>
      </c>
      <c r="Q25" s="1010"/>
      <c r="R25" s="1005"/>
      <c r="S25" s="80"/>
      <c r="T25" s="80"/>
      <c r="U25" s="80"/>
      <c r="V25" s="80"/>
      <c r="W25" s="80"/>
      <c r="X25" s="80"/>
      <c r="Y25" s="330"/>
      <c r="Z25" s="330"/>
      <c r="AA25" s="330"/>
      <c r="AB25" s="330"/>
      <c r="AC25" s="80"/>
      <c r="AX25" s="80"/>
      <c r="AY25" s="80"/>
      <c r="AZ25" s="80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332"/>
      <c r="BN25" s="332"/>
      <c r="BO25" s="332"/>
      <c r="BQ25" s="318"/>
      <c r="BR25" s="318"/>
      <c r="BS25" s="318"/>
      <c r="BT25" s="318"/>
      <c r="BU25" s="318"/>
      <c r="BV25" s="318"/>
      <c r="BW25" s="318"/>
      <c r="BX25" s="318"/>
      <c r="BY25" s="318"/>
      <c r="BZ25" s="318"/>
      <c r="CA25" s="318"/>
      <c r="CB25" s="318"/>
      <c r="CC25" s="318"/>
      <c r="CD25" s="318"/>
      <c r="CE25" s="318"/>
      <c r="CF25" s="318"/>
      <c r="CG25" s="318"/>
      <c r="CH25" s="318"/>
      <c r="CI25" s="318"/>
      <c r="CJ25" s="318"/>
      <c r="CK25" s="318"/>
      <c r="CL25" s="318"/>
      <c r="CM25" s="318"/>
      <c r="CN25" s="318"/>
      <c r="CO25" s="318"/>
      <c r="CP25" s="318"/>
      <c r="CQ25" s="318"/>
      <c r="CR25" s="318"/>
      <c r="CS25" s="318"/>
      <c r="CT25" s="318"/>
      <c r="CU25" s="318"/>
      <c r="CV25" s="318"/>
      <c r="CW25" s="318"/>
      <c r="CX25" s="318"/>
      <c r="CY25" s="318"/>
      <c r="CZ25" s="318"/>
      <c r="DA25" s="318"/>
      <c r="DB25" s="318"/>
      <c r="DC25" s="318"/>
      <c r="DD25" s="318"/>
      <c r="DE25" s="318"/>
      <c r="DF25" s="318"/>
      <c r="DG25" s="318"/>
      <c r="DH25" s="318"/>
      <c r="DI25" s="318"/>
      <c r="DJ25" s="318"/>
      <c r="DK25" s="318"/>
      <c r="DL25" s="318"/>
      <c r="DM25" s="318"/>
      <c r="DN25" s="318"/>
      <c r="DO25" s="318"/>
      <c r="DP25" s="318"/>
      <c r="DQ25" s="318"/>
      <c r="DR25" s="318"/>
      <c r="DS25" s="318"/>
      <c r="DT25" s="318"/>
      <c r="DU25" s="318"/>
      <c r="DV25" s="318"/>
      <c r="DW25" s="318"/>
      <c r="DX25" s="318"/>
      <c r="DY25" s="318"/>
      <c r="DZ25" s="318"/>
      <c r="EA25" s="318"/>
      <c r="EB25" s="318"/>
      <c r="EC25" s="318"/>
      <c r="ED25" s="318"/>
      <c r="EE25" s="318"/>
      <c r="EF25" s="318"/>
      <c r="EG25" s="318"/>
      <c r="EH25" s="318"/>
      <c r="EI25" s="318"/>
      <c r="EJ25" s="318"/>
      <c r="EK25" s="318"/>
      <c r="EL25" s="318"/>
      <c r="EM25" s="318"/>
      <c r="EN25" s="318"/>
      <c r="EO25" s="318"/>
      <c r="EP25" s="318"/>
      <c r="EQ25" s="318"/>
      <c r="ER25" s="318"/>
      <c r="ES25" s="318"/>
      <c r="ET25" s="318"/>
      <c r="EU25" s="318"/>
      <c r="EV25" s="318"/>
      <c r="EW25" s="318"/>
      <c r="EX25" s="318"/>
      <c r="EY25" s="318"/>
      <c r="EZ25" s="318"/>
      <c r="FA25" s="318"/>
    </row>
    <row r="26" spans="1:157" s="331" customFormat="1" ht="62.25" thickBot="1" x14ac:dyDescent="0.7">
      <c r="A26" s="1018"/>
      <c r="B26" s="1021"/>
      <c r="C26" s="1024"/>
      <c r="D26" s="1027"/>
      <c r="E26" s="1021"/>
      <c r="F26" s="1008">
        <v>4</v>
      </c>
      <c r="G26" s="1008"/>
      <c r="H26" s="494" t="str">
        <f t="shared" si="7"/>
        <v>4-5-3</v>
      </c>
      <c r="I26" s="494" t="str">
        <f t="shared" si="0"/>
        <v>4-5-3-نعم - تتطابق بشكل متكامل.</v>
      </c>
      <c r="J26" s="530">
        <v>3</v>
      </c>
      <c r="K26" s="531" t="s">
        <v>113</v>
      </c>
      <c r="L26" s="530">
        <v>4</v>
      </c>
      <c r="M26" s="532" t="s">
        <v>13</v>
      </c>
      <c r="N26" s="533" t="s">
        <v>114</v>
      </c>
      <c r="O26" s="499" t="s">
        <v>572</v>
      </c>
      <c r="P26" s="495">
        <f>IF(I26="","",INDEX('النماذج (الأصل)'!$AC$224:$AE$2295,MATCH(I26,'النماذج (الأصل)'!$AC$224:$AC$295,0),3))</f>
        <v>4</v>
      </c>
      <c r="Q26" s="1011"/>
      <c r="R26" s="1006"/>
      <c r="S26" s="80"/>
      <c r="T26" s="80"/>
      <c r="U26" s="80"/>
      <c r="V26" s="80"/>
      <c r="W26" s="80"/>
      <c r="X26" s="80"/>
      <c r="Y26" s="330"/>
      <c r="Z26" s="330"/>
      <c r="AA26" s="330"/>
      <c r="AB26" s="330"/>
      <c r="AC26" s="80"/>
      <c r="AX26" s="80"/>
      <c r="AY26" s="80"/>
      <c r="AZ26" s="80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332"/>
      <c r="BN26" s="332"/>
      <c r="BO26" s="332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318"/>
      <c r="CC26" s="318"/>
      <c r="CD26" s="318"/>
      <c r="CE26" s="318"/>
      <c r="CF26" s="318"/>
      <c r="CG26" s="318"/>
      <c r="CH26" s="318"/>
      <c r="CI26" s="318"/>
      <c r="CJ26" s="318"/>
      <c r="CK26" s="318"/>
      <c r="CL26" s="318"/>
      <c r="CM26" s="318"/>
      <c r="CN26" s="318"/>
      <c r="CO26" s="318"/>
      <c r="CP26" s="318"/>
      <c r="CQ26" s="318"/>
      <c r="CR26" s="318"/>
      <c r="CS26" s="318"/>
      <c r="CT26" s="318"/>
      <c r="CU26" s="318"/>
      <c r="CV26" s="318"/>
      <c r="CW26" s="318"/>
      <c r="CX26" s="318"/>
      <c r="CY26" s="318"/>
      <c r="CZ26" s="318"/>
      <c r="DA26" s="318"/>
      <c r="DB26" s="318"/>
      <c r="DC26" s="318"/>
      <c r="DD26" s="318"/>
      <c r="DE26" s="318"/>
      <c r="DF26" s="318"/>
      <c r="DG26" s="318"/>
      <c r="DH26" s="318"/>
      <c r="DI26" s="318"/>
      <c r="DJ26" s="318"/>
      <c r="DK26" s="318"/>
      <c r="DL26" s="318"/>
      <c r="DM26" s="318"/>
      <c r="DN26" s="318"/>
      <c r="DO26" s="318"/>
      <c r="DP26" s="318"/>
      <c r="DQ26" s="318"/>
      <c r="DR26" s="318"/>
      <c r="DS26" s="318"/>
      <c r="DT26" s="318"/>
      <c r="DU26" s="318"/>
      <c r="DV26" s="318"/>
      <c r="DW26" s="318"/>
      <c r="DX26" s="318"/>
      <c r="DY26" s="318"/>
      <c r="DZ26" s="318"/>
      <c r="EA26" s="318"/>
      <c r="EB26" s="318"/>
      <c r="EC26" s="318"/>
      <c r="ED26" s="318"/>
      <c r="EE26" s="318"/>
      <c r="EF26" s="318"/>
      <c r="EG26" s="318"/>
      <c r="EH26" s="318"/>
      <c r="EI26" s="318"/>
      <c r="EJ26" s="318"/>
      <c r="EK26" s="318"/>
      <c r="EL26" s="318"/>
      <c r="EM26" s="318"/>
      <c r="EN26" s="318"/>
      <c r="EO26" s="318"/>
      <c r="EP26" s="318"/>
      <c r="EQ26" s="318"/>
      <c r="ER26" s="318"/>
      <c r="ES26" s="318"/>
      <c r="ET26" s="318"/>
      <c r="EU26" s="318"/>
      <c r="EV26" s="318"/>
      <c r="EW26" s="318"/>
      <c r="EX26" s="318"/>
      <c r="EY26" s="318"/>
      <c r="EZ26" s="318"/>
      <c r="FA26" s="318"/>
    </row>
    <row r="27" spans="1:157" s="331" customFormat="1" ht="28.5" hidden="1" thickBot="1" x14ac:dyDescent="0.7">
      <c r="A27" s="218"/>
      <c r="B27" s="218"/>
      <c r="C27" s="219"/>
      <c r="D27" s="219"/>
      <c r="E27" s="219"/>
      <c r="F27" s="220"/>
      <c r="G27" s="219"/>
      <c r="H27" s="220"/>
      <c r="I27" s="220"/>
      <c r="J27" s="221"/>
      <c r="K27" s="222"/>
      <c r="L27" s="220"/>
      <c r="M27" s="220"/>
      <c r="N27" s="222"/>
      <c r="O27" s="222"/>
      <c r="P27" s="333">
        <f>SUM(P4:P26)</f>
        <v>100</v>
      </c>
      <c r="Q27" s="333">
        <f>SUM(Q4:Q26)</f>
        <v>100</v>
      </c>
      <c r="R27" s="348">
        <f>IF(COUNTIF(R4:R26,"الإجابات ناقصة")&gt;0,"الإجابات ناقصة",SUM(R4:R26))</f>
        <v>100</v>
      </c>
      <c r="S27" s="80"/>
      <c r="T27" s="80"/>
      <c r="U27" s="80"/>
      <c r="V27" s="80"/>
      <c r="W27" s="80"/>
      <c r="X27" s="80"/>
      <c r="Y27" s="330"/>
      <c r="Z27" s="330"/>
      <c r="AA27" s="330"/>
      <c r="AB27" s="330"/>
      <c r="AC27" s="80"/>
      <c r="AX27" s="80"/>
      <c r="AY27" s="80"/>
      <c r="AZ27" s="80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332"/>
      <c r="BN27" s="332"/>
      <c r="BO27" s="332"/>
      <c r="BQ27" s="318"/>
      <c r="BR27" s="318"/>
      <c r="BS27" s="318"/>
      <c r="BT27" s="318"/>
      <c r="BU27" s="318"/>
      <c r="BV27" s="318"/>
      <c r="BW27" s="318"/>
      <c r="BX27" s="318"/>
      <c r="BY27" s="318"/>
      <c r="BZ27" s="318"/>
      <c r="CA27" s="318"/>
      <c r="CB27" s="318"/>
      <c r="CC27" s="318"/>
      <c r="CD27" s="318"/>
      <c r="CE27" s="318"/>
      <c r="CF27" s="318"/>
      <c r="CG27" s="318"/>
      <c r="CH27" s="318"/>
      <c r="CI27" s="318"/>
      <c r="CJ27" s="318"/>
      <c r="CK27" s="318"/>
      <c r="CL27" s="318"/>
      <c r="CM27" s="318"/>
      <c r="CN27" s="318"/>
      <c r="CO27" s="318"/>
      <c r="CP27" s="318"/>
      <c r="CQ27" s="318"/>
      <c r="CR27" s="318"/>
      <c r="CS27" s="318"/>
      <c r="CT27" s="318"/>
      <c r="CU27" s="318"/>
      <c r="CV27" s="318"/>
      <c r="CW27" s="318"/>
      <c r="CX27" s="318"/>
      <c r="CY27" s="318"/>
      <c r="CZ27" s="318"/>
      <c r="DA27" s="318"/>
      <c r="DB27" s="318"/>
      <c r="DC27" s="318"/>
      <c r="DD27" s="318"/>
      <c r="DE27" s="318"/>
      <c r="DF27" s="318"/>
      <c r="DG27" s="318"/>
      <c r="DH27" s="318"/>
      <c r="DI27" s="318"/>
      <c r="DJ27" s="318"/>
      <c r="DK27" s="318"/>
      <c r="DL27" s="318"/>
      <c r="DM27" s="318"/>
      <c r="DN27" s="318"/>
      <c r="DO27" s="318"/>
      <c r="DP27" s="318"/>
      <c r="DQ27" s="318"/>
      <c r="DR27" s="318"/>
      <c r="DS27" s="318"/>
      <c r="DT27" s="318"/>
      <c r="DU27" s="318"/>
      <c r="DV27" s="318"/>
      <c r="DW27" s="318"/>
      <c r="DX27" s="318"/>
      <c r="DY27" s="318"/>
      <c r="DZ27" s="318"/>
      <c r="EA27" s="318"/>
      <c r="EB27" s="318"/>
      <c r="EC27" s="318"/>
      <c r="ED27" s="318"/>
      <c r="EE27" s="318"/>
      <c r="EF27" s="318"/>
      <c r="EG27" s="318"/>
      <c r="EH27" s="318"/>
      <c r="EI27" s="318"/>
      <c r="EJ27" s="318"/>
      <c r="EK27" s="318"/>
      <c r="EL27" s="318"/>
      <c r="EM27" s="318"/>
      <c r="EN27" s="318"/>
      <c r="EO27" s="318"/>
      <c r="EP27" s="318"/>
      <c r="EQ27" s="318"/>
      <c r="ER27" s="318"/>
      <c r="ES27" s="318"/>
      <c r="ET27" s="318"/>
      <c r="EU27" s="318"/>
      <c r="EV27" s="318"/>
      <c r="EW27" s="318"/>
      <c r="EX27" s="318"/>
      <c r="EY27" s="318"/>
      <c r="EZ27" s="318"/>
      <c r="FA27" s="318"/>
    </row>
    <row r="28" spans="1:157" s="331" customFormat="1" x14ac:dyDescent="0.65">
      <c r="A28" s="80"/>
      <c r="B28" s="80"/>
      <c r="C28" s="80"/>
      <c r="D28" s="198"/>
      <c r="E28" s="91"/>
      <c r="F28" s="91"/>
      <c r="G28" s="199"/>
      <c r="H28" s="200"/>
      <c r="I28" s="200"/>
      <c r="J28" s="91"/>
      <c r="K28" s="80"/>
      <c r="L28" s="91"/>
      <c r="M28" s="80"/>
      <c r="N28" s="80"/>
      <c r="O28" s="80"/>
      <c r="P28" s="334"/>
      <c r="Q28" s="91"/>
      <c r="R28" s="335"/>
      <c r="S28" s="80"/>
      <c r="T28" s="80"/>
      <c r="U28" s="80"/>
      <c r="V28" s="80"/>
      <c r="W28" s="80"/>
      <c r="X28" s="80"/>
      <c r="Y28" s="330"/>
      <c r="Z28" s="330"/>
      <c r="AA28" s="330"/>
      <c r="AB28" s="330"/>
      <c r="AC28" s="80"/>
      <c r="AX28" s="80"/>
      <c r="AY28" s="80"/>
      <c r="AZ28" s="80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332"/>
      <c r="BN28" s="332"/>
      <c r="BO28" s="332"/>
      <c r="BQ28" s="318"/>
      <c r="BR28" s="318"/>
      <c r="BS28" s="318"/>
      <c r="BT28" s="318"/>
      <c r="BU28" s="318"/>
      <c r="BV28" s="318"/>
      <c r="BW28" s="318"/>
      <c r="BX28" s="318"/>
      <c r="BY28" s="318"/>
      <c r="BZ28" s="318"/>
      <c r="CA28" s="318"/>
      <c r="CB28" s="318"/>
      <c r="CC28" s="318"/>
      <c r="CD28" s="318"/>
      <c r="CE28" s="318"/>
      <c r="CF28" s="318"/>
      <c r="CG28" s="318"/>
      <c r="CH28" s="318"/>
      <c r="CI28" s="318"/>
      <c r="CJ28" s="318"/>
      <c r="CK28" s="318"/>
      <c r="CL28" s="318"/>
      <c r="CM28" s="318"/>
      <c r="CN28" s="318"/>
      <c r="CO28" s="318"/>
      <c r="CP28" s="318"/>
      <c r="CQ28" s="318"/>
      <c r="CR28" s="318"/>
      <c r="CS28" s="318"/>
      <c r="CT28" s="318"/>
      <c r="CU28" s="318"/>
      <c r="CV28" s="318"/>
      <c r="CW28" s="318"/>
      <c r="CX28" s="318"/>
      <c r="CY28" s="318"/>
      <c r="CZ28" s="318"/>
      <c r="DA28" s="318"/>
      <c r="DB28" s="318"/>
      <c r="DC28" s="318"/>
      <c r="DD28" s="318"/>
      <c r="DE28" s="318"/>
      <c r="DF28" s="318"/>
      <c r="DG28" s="318"/>
      <c r="DH28" s="318"/>
      <c r="DI28" s="318"/>
      <c r="DJ28" s="318"/>
      <c r="DK28" s="318"/>
      <c r="DL28" s="318"/>
      <c r="DM28" s="318"/>
      <c r="DN28" s="318"/>
      <c r="DO28" s="318"/>
      <c r="DP28" s="318"/>
      <c r="DQ28" s="318"/>
      <c r="DR28" s="318"/>
      <c r="DS28" s="318"/>
      <c r="DT28" s="318"/>
      <c r="DU28" s="318"/>
      <c r="DV28" s="318"/>
      <c r="DW28" s="318"/>
      <c r="DX28" s="318"/>
      <c r="DY28" s="318"/>
      <c r="DZ28" s="318"/>
      <c r="EA28" s="318"/>
      <c r="EB28" s="318"/>
      <c r="EC28" s="318"/>
      <c r="ED28" s="318"/>
      <c r="EE28" s="318"/>
      <c r="EF28" s="318"/>
      <c r="EG28" s="318"/>
      <c r="EH28" s="318"/>
      <c r="EI28" s="318"/>
      <c r="EJ28" s="318"/>
      <c r="EK28" s="318"/>
      <c r="EL28" s="318"/>
      <c r="EM28" s="318"/>
      <c r="EN28" s="318"/>
      <c r="EO28" s="318"/>
      <c r="EP28" s="318"/>
      <c r="EQ28" s="318"/>
      <c r="ER28" s="318"/>
      <c r="ES28" s="318"/>
      <c r="ET28" s="318"/>
      <c r="EU28" s="318"/>
      <c r="EV28" s="318"/>
      <c r="EW28" s="318"/>
      <c r="EX28" s="318"/>
      <c r="EY28" s="318"/>
      <c r="EZ28" s="318"/>
      <c r="FA28" s="318"/>
    </row>
  </sheetData>
  <sheetProtection algorithmName="SHA-512" hashValue="x/duEi4PlooYoQJjwZtykWok1e3whtgl3y3GU+H65XH0k39TKqM2E/iQxzjGWi6pZFjkhe4WsCZkieh8EvOvzg==" saltValue="Z/x4pRAtsG/9QEhVoNbehw==" spinCount="100000" sheet="1" selectLockedCells="1"/>
  <mergeCells count="49">
    <mergeCell ref="E1:M2"/>
    <mergeCell ref="Q4:Q11"/>
    <mergeCell ref="R4:R11"/>
    <mergeCell ref="A4:A11"/>
    <mergeCell ref="B4:B11"/>
    <mergeCell ref="C4:C11"/>
    <mergeCell ref="D4:D11"/>
    <mergeCell ref="E4:E11"/>
    <mergeCell ref="F4:F11"/>
    <mergeCell ref="G4:G11"/>
    <mergeCell ref="A1:C2"/>
    <mergeCell ref="N1:N2"/>
    <mergeCell ref="O1:O2"/>
    <mergeCell ref="L20:L21"/>
    <mergeCell ref="D20:D21"/>
    <mergeCell ref="E20:E21"/>
    <mergeCell ref="F20:F21"/>
    <mergeCell ref="G20:G21"/>
    <mergeCell ref="A12:A21"/>
    <mergeCell ref="B12:B21"/>
    <mergeCell ref="C12:C21"/>
    <mergeCell ref="D12:D19"/>
    <mergeCell ref="E12:E19"/>
    <mergeCell ref="A22:A23"/>
    <mergeCell ref="B22:B23"/>
    <mergeCell ref="C22:C23"/>
    <mergeCell ref="D22:D23"/>
    <mergeCell ref="E22:E23"/>
    <mergeCell ref="A24:A26"/>
    <mergeCell ref="B24:B26"/>
    <mergeCell ref="C24:C26"/>
    <mergeCell ref="D24:D26"/>
    <mergeCell ref="E24:E26"/>
    <mergeCell ref="F18:F19"/>
    <mergeCell ref="G18:G19"/>
    <mergeCell ref="L18:L19"/>
    <mergeCell ref="L16:L17"/>
    <mergeCell ref="R24:R26"/>
    <mergeCell ref="G24:G26"/>
    <mergeCell ref="F24:F26"/>
    <mergeCell ref="Q24:Q26"/>
    <mergeCell ref="R22:R23"/>
    <mergeCell ref="Q22:Q23"/>
    <mergeCell ref="Q12:Q19"/>
    <mergeCell ref="R12:R21"/>
    <mergeCell ref="L12:L13"/>
    <mergeCell ref="F12:F17"/>
    <mergeCell ref="G12:G17"/>
    <mergeCell ref="Q20:Q21"/>
  </mergeCells>
  <conditionalFormatting sqref="H21:I21">
    <cfRule type="expression" dxfId="31" priority="18">
      <formula>OR($P$20=0,AND($P$12="-",$P$20=0))</formula>
    </cfRule>
  </conditionalFormatting>
  <conditionalFormatting sqref="H19:I19">
    <cfRule type="expression" dxfId="30" priority="17">
      <formula>OR($P$12=0,$P$18=5)</formula>
    </cfRule>
  </conditionalFormatting>
  <conditionalFormatting sqref="H17:I17">
    <cfRule type="expression" dxfId="29" priority="5">
      <formula>$P$12=0</formula>
    </cfRule>
    <cfRule type="expression" dxfId="28" priority="16">
      <formula>$P$16=5</formula>
    </cfRule>
  </conditionalFormatting>
  <conditionalFormatting sqref="J21:P21">
    <cfRule type="expression" dxfId="27" priority="15">
      <formula>$P$20=0</formula>
    </cfRule>
  </conditionalFormatting>
  <conditionalFormatting sqref="H13:P19">
    <cfRule type="expression" dxfId="26" priority="10">
      <formula>$P$12=0</formula>
    </cfRule>
  </conditionalFormatting>
  <conditionalFormatting sqref="AG9:AG12 AG4:AG7">
    <cfRule type="colorScale" priority="13">
      <colorScale>
        <cfvo type="num" val="0"/>
        <cfvo type="percentile" val="50"/>
        <cfvo type="num" val="1"/>
        <color rgb="FFF8696B"/>
        <color rgb="FFFFEB84"/>
        <color rgb="FF63BE7B"/>
      </colorScale>
    </cfRule>
  </conditionalFormatting>
  <conditionalFormatting sqref="O22:O23 O4:O11">
    <cfRule type="notContainsBlanks" dxfId="25" priority="12">
      <formula>LEN(TRIM(O4))&gt;0</formula>
    </cfRule>
  </conditionalFormatting>
  <conditionalFormatting sqref="O13:O15 O24:O26">
    <cfRule type="notContainsBlanks" dxfId="24" priority="19">
      <formula>LEN(TRIM(O13))&gt;0</formula>
    </cfRule>
  </conditionalFormatting>
  <conditionalFormatting sqref="O12">
    <cfRule type="notContainsBlanks" dxfId="23" priority="14">
      <formula>LEN(TRIM(O12))&gt;0</formula>
    </cfRule>
  </conditionalFormatting>
  <conditionalFormatting sqref="R4:R27">
    <cfRule type="containsText" dxfId="22" priority="8" operator="containsText" text="الإجابات ناقصة">
      <formula>NOT(ISERROR(SEARCH("الإجابات ناقصة",R4)))</formula>
    </cfRule>
  </conditionalFormatting>
  <conditionalFormatting sqref="R4:R26">
    <cfRule type="cellIs" dxfId="21" priority="9" operator="greaterThanOrEqual">
      <formula>0</formula>
    </cfRule>
  </conditionalFormatting>
  <conditionalFormatting sqref="O1:O2">
    <cfRule type="containsText" dxfId="20" priority="6" operator="containsText" text="لم يكتمل التقييم">
      <formula>NOT(ISERROR(SEARCH("لم يكتمل التقييم",O1)))</formula>
    </cfRule>
    <cfRule type="cellIs" dxfId="19" priority="7" operator="greaterThanOrEqual">
      <formula>0</formula>
    </cfRule>
  </conditionalFormatting>
  <conditionalFormatting sqref="J17:P17">
    <cfRule type="expression" dxfId="18" priority="2">
      <formula>$P$16=5</formula>
    </cfRule>
  </conditionalFormatting>
  <conditionalFormatting sqref="J19:P19">
    <cfRule type="expression" dxfId="17" priority="1">
      <formula>$P$18=5</formula>
    </cfRule>
  </conditionalFormatting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>
          <x14:formula1>
            <xm:f>'النماذج (الأصل)'!$AB$224:$AB$225</xm:f>
          </x14:formula1>
          <xm:sqref>O4</xm:sqref>
        </x14:dataValidation>
        <x14:dataValidation type="list" allowBlank="1" showInputMessage="1" showErrorMessage="1">
          <x14:formula1>
            <xm:f>'النماذج (الأصل)'!$AB$227:$AB$228</xm:f>
          </x14:formula1>
          <xm:sqref>O5</xm:sqref>
        </x14:dataValidation>
        <x14:dataValidation type="list" allowBlank="1" showInputMessage="1" showErrorMessage="1">
          <x14:formula1>
            <xm:f>'النماذج (الأصل)'!$AB$230:$AB$231</xm:f>
          </x14:formula1>
          <xm:sqref>O6</xm:sqref>
        </x14:dataValidation>
        <x14:dataValidation type="list" allowBlank="1" showInputMessage="1" showErrorMessage="1">
          <x14:formula1>
            <xm:f>'النماذج (الأصل)'!$AB$233:$AB$234</xm:f>
          </x14:formula1>
          <xm:sqref>O7</xm:sqref>
        </x14:dataValidation>
        <x14:dataValidation type="list" allowBlank="1" showInputMessage="1" showErrorMessage="1">
          <x14:formula1>
            <xm:f>'النماذج (الأصل)'!$AB$236:$AB$237</xm:f>
          </x14:formula1>
          <xm:sqref>O8</xm:sqref>
        </x14:dataValidation>
        <x14:dataValidation type="list" allowBlank="1" showInputMessage="1" showErrorMessage="1">
          <x14:formula1>
            <xm:f>'النماذج (الأصل)'!$AB$239:$AB$240</xm:f>
          </x14:formula1>
          <xm:sqref>O9</xm:sqref>
        </x14:dataValidation>
        <x14:dataValidation type="list" allowBlank="1" showInputMessage="1" showErrorMessage="1">
          <x14:formula1>
            <xm:f>'النماذج (الأصل)'!$AB$242:$AB$243</xm:f>
          </x14:formula1>
          <xm:sqref>O10</xm:sqref>
        </x14:dataValidation>
        <x14:dataValidation type="list" allowBlank="1" showInputMessage="1" showErrorMessage="1">
          <x14:formula1>
            <xm:f>'النماذج (الأصل)'!$AB$245:$AB$246</xm:f>
          </x14:formula1>
          <xm:sqref>O11</xm:sqref>
        </x14:dataValidation>
        <x14:dataValidation type="list" allowBlank="1" showInputMessage="1" showErrorMessage="1">
          <x14:formula1>
            <xm:f>'النماذج (الأصل)'!$AB$248:$AB$249</xm:f>
          </x14:formula1>
          <xm:sqref>O12</xm:sqref>
        </x14:dataValidation>
        <x14:dataValidation type="list" allowBlank="1" showInputMessage="1" showErrorMessage="1">
          <x14:formula1>
            <xm:f>'النماذج (الأصل)'!$AB$251:$AB$253</xm:f>
          </x14:formula1>
          <xm:sqref>O13</xm:sqref>
        </x14:dataValidation>
        <x14:dataValidation type="list" allowBlank="1" showInputMessage="1" showErrorMessage="1">
          <x14:formula1>
            <xm:f>'النماذج (الأصل)'!$AB$255:$AB$256</xm:f>
          </x14:formula1>
          <xm:sqref>O14</xm:sqref>
        </x14:dataValidation>
        <x14:dataValidation type="list" allowBlank="1" showInputMessage="1" showErrorMessage="1">
          <x14:formula1>
            <xm:f>'النماذج (الأصل)'!$AB$258:$AB$259</xm:f>
          </x14:formula1>
          <xm:sqref>O15</xm:sqref>
        </x14:dataValidation>
        <x14:dataValidation type="list" allowBlank="1" showInputMessage="1" showErrorMessage="1">
          <x14:formula1>
            <xm:f>'النماذج (الأصل)'!$AB$261:$AB$262</xm:f>
          </x14:formula1>
          <xm:sqref>O16</xm:sqref>
        </x14:dataValidation>
        <x14:dataValidation type="list" allowBlank="1" showInputMessage="1" showErrorMessage="1">
          <x14:formula1>
            <xm:f>'النماذج (الأصل)'!$AB$264:$AB$265</xm:f>
          </x14:formula1>
          <xm:sqref>O17</xm:sqref>
        </x14:dataValidation>
        <x14:dataValidation type="list" allowBlank="1" showInputMessage="1" showErrorMessage="1">
          <x14:formula1>
            <xm:f>'النماذج (الأصل)'!$AB$267:$AB$268</xm:f>
          </x14:formula1>
          <xm:sqref>O18</xm:sqref>
        </x14:dataValidation>
        <x14:dataValidation type="list" allowBlank="1" showInputMessage="1" showErrorMessage="1">
          <x14:formula1>
            <xm:f>'النماذج (الأصل)'!$AB$270:$AB$271</xm:f>
          </x14:formula1>
          <xm:sqref>O19</xm:sqref>
        </x14:dataValidation>
        <x14:dataValidation type="list" allowBlank="1" showInputMessage="1" showErrorMessage="1">
          <x14:formula1>
            <xm:f>'النماذج (الأصل)'!$AB$273:$AB$274</xm:f>
          </x14:formula1>
          <xm:sqref>O20</xm:sqref>
        </x14:dataValidation>
        <x14:dataValidation type="list" allowBlank="1" showInputMessage="1" showErrorMessage="1">
          <x14:formula1>
            <xm:f>'النماذج (الأصل)'!$AB$275:$AB$276</xm:f>
          </x14:formula1>
          <xm:sqref>O21</xm:sqref>
        </x14:dataValidation>
        <x14:dataValidation type="list" allowBlank="1" showInputMessage="1" showErrorMessage="1">
          <x14:formula1>
            <xm:f>'النماذج (الأصل)'!$AB$278:$AB$280</xm:f>
          </x14:formula1>
          <xm:sqref>O22</xm:sqref>
        </x14:dataValidation>
        <x14:dataValidation type="list" allowBlank="1" showInputMessage="1" showErrorMessage="1">
          <x14:formula1>
            <xm:f>'النماذج (الأصل)'!$AB$282:$AB$284</xm:f>
          </x14:formula1>
          <xm:sqref>O23</xm:sqref>
        </x14:dataValidation>
        <x14:dataValidation type="list" allowBlank="1" showInputMessage="1" showErrorMessage="1">
          <x14:formula1>
            <xm:f>'النماذج (الأصل)'!$AB$286:$AB$288</xm:f>
          </x14:formula1>
          <xm:sqref>O24</xm:sqref>
        </x14:dataValidation>
        <x14:dataValidation type="list" allowBlank="1" showInputMessage="1" showErrorMessage="1">
          <x14:formula1>
            <xm:f>'النماذج (الأصل)'!$AB$290:$AB$291</xm:f>
          </x14:formula1>
          <xm:sqref>O25</xm:sqref>
        </x14:dataValidation>
        <x14:dataValidation type="list" allowBlank="1" showInputMessage="1" showErrorMessage="1">
          <x14:formula1>
            <xm:f>'النماذج (الأصل)'!$AB$293:$AB$295</xm:f>
          </x14:formula1>
          <xm:sqref>O26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9"/>
  <sheetViews>
    <sheetView showGridLines="0" showRowColHeaders="0" rightToLeft="1" zoomScaleNormal="100" workbookViewId="0">
      <selection activeCell="J8" sqref="J8"/>
    </sheetView>
  </sheetViews>
  <sheetFormatPr defaultColWidth="10.7109375" defaultRowHeight="26.25" x14ac:dyDescent="0.4"/>
  <cols>
    <col min="1" max="1" width="10.7109375" style="5"/>
    <col min="2" max="2" width="10.7109375" style="8"/>
    <col min="3" max="3" width="19.42578125" style="5" customWidth="1"/>
    <col min="4" max="4" width="57" style="8" customWidth="1"/>
    <col min="5" max="5" width="15.140625" style="5" customWidth="1"/>
    <col min="6" max="6" width="18.140625" style="5" customWidth="1"/>
    <col min="7" max="13" width="10.7109375" style="5"/>
    <col min="14" max="19" width="10.7109375" style="5" hidden="1" customWidth="1"/>
    <col min="20" max="16384" width="10.7109375" style="5"/>
  </cols>
  <sheetData>
    <row r="1" spans="1:19" ht="34.9" customHeight="1" x14ac:dyDescent="0.25">
      <c r="A1" s="1055" t="s">
        <v>32</v>
      </c>
      <c r="B1" s="1055"/>
      <c r="C1" s="1056"/>
      <c r="D1" s="286" t="str">
        <f>'الامتثال والالتزام (للجهة)'!E1</f>
        <v>مؤسسة ……….</v>
      </c>
      <c r="E1" s="534"/>
      <c r="F1" s="4"/>
      <c r="G1" s="1"/>
      <c r="H1" s="6"/>
      <c r="I1" s="1"/>
      <c r="J1" s="6"/>
      <c r="K1" s="1"/>
      <c r="M1" s="4"/>
      <c r="N1" s="2"/>
      <c r="O1" s="3"/>
    </row>
    <row r="2" spans="1:19" ht="34.9" customHeight="1" x14ac:dyDescent="0.4">
      <c r="A2" s="9"/>
      <c r="B2" s="9"/>
      <c r="C2" s="9"/>
      <c r="D2" s="285"/>
      <c r="E2" s="9"/>
      <c r="N2" s="287"/>
      <c r="O2" s="288" t="s">
        <v>467</v>
      </c>
      <c r="P2" s="288" t="s">
        <v>468</v>
      </c>
      <c r="Q2" s="287"/>
      <c r="R2" s="288" t="s">
        <v>469</v>
      </c>
      <c r="S2" s="288" t="s">
        <v>470</v>
      </c>
    </row>
    <row r="3" spans="1:19" s="7" customFormat="1" ht="34.9" customHeight="1" x14ac:dyDescent="0.3">
      <c r="A3" s="1057" t="s">
        <v>35</v>
      </c>
      <c r="B3" s="1057"/>
      <c r="C3" s="1057"/>
      <c r="D3" s="536" t="s">
        <v>365</v>
      </c>
      <c r="E3" s="535" t="s">
        <v>364</v>
      </c>
      <c r="F3" s="535" t="s">
        <v>35</v>
      </c>
      <c r="N3" s="289" t="s">
        <v>471</v>
      </c>
      <c r="O3" s="294">
        <v>0</v>
      </c>
      <c r="P3" s="293">
        <v>0</v>
      </c>
      <c r="Q3" s="287"/>
      <c r="R3" s="292">
        <f>50-(50*COS(RADIANS(P5)))</f>
        <v>100</v>
      </c>
      <c r="S3" s="292">
        <f>50*SIN(RADIANS(P5))</f>
        <v>6.1257422745431001E-15</v>
      </c>
    </row>
    <row r="4" spans="1:19" s="7" customFormat="1" ht="34.9" customHeight="1" x14ac:dyDescent="0.3">
      <c r="A4" s="1058" t="s">
        <v>36</v>
      </c>
      <c r="B4" s="1058"/>
      <c r="C4" s="1058"/>
      <c r="D4" s="537">
        <f>IFERROR('الامتثال والالتزام (للجهة)'!S70/100,"لم يكتمل التقييم")</f>
        <v>1</v>
      </c>
      <c r="E4" s="537">
        <v>0.6</v>
      </c>
      <c r="F4" s="1059">
        <f>IFERROR((D4*E4)+(D5*E5),0)</f>
        <v>1</v>
      </c>
      <c r="N4" s="289" t="s">
        <v>472</v>
      </c>
      <c r="O4" s="291">
        <v>1</v>
      </c>
      <c r="P4" s="293">
        <v>180</v>
      </c>
      <c r="Q4" s="287"/>
      <c r="R4" s="292">
        <f>50-(2*COS(RADIANS(P5+90)))</f>
        <v>50</v>
      </c>
      <c r="S4" s="292">
        <f>2*SIN(RADIANS(P5+90))</f>
        <v>-2</v>
      </c>
    </row>
    <row r="5" spans="1:19" s="7" customFormat="1" ht="34.9" customHeight="1" x14ac:dyDescent="0.3">
      <c r="A5" s="1058" t="s">
        <v>37</v>
      </c>
      <c r="B5" s="1058"/>
      <c r="C5" s="1058"/>
      <c r="D5" s="537">
        <f>IFERROR('الشفافية والإفصاح (للجهة)'!R27/100,"لم يكتمل التقييم")</f>
        <v>1</v>
      </c>
      <c r="E5" s="537">
        <v>0.4</v>
      </c>
      <c r="F5" s="1060"/>
      <c r="G5" s="34"/>
      <c r="N5" s="289" t="s">
        <v>35</v>
      </c>
      <c r="O5" s="291">
        <f>F4</f>
        <v>1</v>
      </c>
      <c r="P5" s="293">
        <f>((O5-O3)/(O4-O3))*180</f>
        <v>180</v>
      </c>
      <c r="Q5" s="287"/>
      <c r="R5" s="292">
        <f>50-(2*COS(RADIANS(P5-90)))</f>
        <v>50</v>
      </c>
      <c r="S5" s="292">
        <f>2*SIN(RADIANS(P5-90))</f>
        <v>2</v>
      </c>
    </row>
    <row r="6" spans="1:19" x14ac:dyDescent="0.4">
      <c r="N6" s="287" t="s">
        <v>473</v>
      </c>
      <c r="O6" s="291">
        <f>((O4-O3)/5)+O3</f>
        <v>0.2</v>
      </c>
      <c r="P6" s="290"/>
      <c r="Q6" s="287"/>
      <c r="R6" s="292">
        <f>R3</f>
        <v>100</v>
      </c>
      <c r="S6" s="292">
        <f>S3</f>
        <v>6.1257422745431001E-15</v>
      </c>
    </row>
    <row r="7" spans="1:19" x14ac:dyDescent="0.4">
      <c r="F7" s="35"/>
      <c r="N7" s="287" t="s">
        <v>474</v>
      </c>
      <c r="O7" s="291">
        <f>((O4-O3)*2/5)+O3</f>
        <v>0.4</v>
      </c>
      <c r="P7" s="290"/>
      <c r="Q7" s="287"/>
      <c r="R7" s="292">
        <v>50</v>
      </c>
      <c r="S7" s="292">
        <v>0</v>
      </c>
    </row>
    <row r="8" spans="1:19" x14ac:dyDescent="0.4">
      <c r="N8" s="287" t="s">
        <v>475</v>
      </c>
      <c r="O8" s="291">
        <f>((O4-O3)*3/5) + O3</f>
        <v>0.6</v>
      </c>
      <c r="P8" s="290"/>
      <c r="Q8" s="287"/>
      <c r="R8" s="290"/>
      <c r="S8" s="290"/>
    </row>
    <row r="9" spans="1:19" x14ac:dyDescent="0.4">
      <c r="D9" s="295" t="str">
        <f>F3&amp;"-"&amp;D1</f>
        <v>الدرجة العامة-مؤسسة ……….</v>
      </c>
      <c r="N9" s="287" t="s">
        <v>476</v>
      </c>
      <c r="O9" s="291">
        <f>((O4-O3)*4/5) + O3</f>
        <v>0.8</v>
      </c>
      <c r="P9" s="290"/>
      <c r="Q9" s="287"/>
      <c r="R9" s="290"/>
      <c r="S9" s="290"/>
    </row>
  </sheetData>
  <sheetProtection algorithmName="SHA-512" hashValue="VCAysKZMKTvXTmqrZxkk/PF0xvS47fX/RMW/fPldPrh4YtJ+DNtUZEW3Kr9zrPsaJIMfSqKvF/KV8+0qMSF3WA==" saltValue="nrLGEiTVaC74qe8RYXYHjA==" spinCount="100000" sheet="1" selectLockedCells="1"/>
  <mergeCells count="5">
    <mergeCell ref="A1:C1"/>
    <mergeCell ref="A3:C3"/>
    <mergeCell ref="A4:C4"/>
    <mergeCell ref="A5:C5"/>
    <mergeCell ref="F4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الامتثال والالتزام (للجهة)</vt:lpstr>
      <vt:lpstr>الشفافية والإفصاح (للجهة)</vt:lpstr>
      <vt:lpstr>النتيجة الكلية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سعود البوعينين</cp:lastModifiedBy>
  <cp:lastPrinted>2019-10-13T04:41:34Z</cp:lastPrinted>
  <dcterms:created xsi:type="dcterms:W3CDTF">2019-09-10T16:15:00Z</dcterms:created>
  <dcterms:modified xsi:type="dcterms:W3CDTF">2025-05-21T07:41:04Z</dcterms:modified>
</cp:coreProperties>
</file>